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hartsheets/sheet4.xml" ContentType="application/vnd.openxmlformats-officedocument.spreadsheetml.chartsheet+xml"/>
  <Override PartName="/xl/calcChain.xml" ContentType="application/vnd.openxmlformats-officedocument.spreadsheetml.calcChain+xml"/>
  <Override PartName="/xl/worksheets/sheet19.xml" ContentType="application/vnd.openxmlformats-officedocument.spreadsheetml.worksheet+xml"/>
  <Override PartName="/xl/chartsheets/sheet2.xml" ContentType="application/vnd.openxmlformats-officedocument.spreadsheetml.chartsheet+xml"/>
  <Override PartName="/xl/chartsheets/sheet3.xml" ContentType="application/vnd.openxmlformats-officedocument.spreadsheetml.chart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chartsheets/sheet1.xml" ContentType="application/vnd.openxmlformats-officedocument.spreadsheetml.chart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255" yWindow="90" windowWidth="13365" windowHeight="11640" tabRatio="808"/>
  </bookViews>
  <sheets>
    <sheet name="Summary Table" sheetId="24" r:id="rId1"/>
    <sheet name="FT" sheetId="47" r:id="rId2"/>
    <sheet name="FT Users" sheetId="43" r:id="rId3"/>
    <sheet name="Forest Glen" sheetId="29" r:id="rId4"/>
    <sheet name="FG Users" sheetId="31" r:id="rId5"/>
    <sheet name="NC" sheetId="45" r:id="rId6"/>
    <sheet name="NC Users" sheetId="41" r:id="rId7"/>
    <sheet name="TB" sheetId="46" r:id="rId8"/>
    <sheet name="TB Users" sheetId="42" r:id="rId9"/>
    <sheet name="WH" sheetId="44" r:id="rId10"/>
    <sheet name="WH Users" sheetId="40" r:id="rId11"/>
    <sheet name="A-N Drive" sheetId="35" r:id="rId12"/>
    <sheet name="A-N Users" sheetId="32" r:id="rId13"/>
    <sheet name="VRE" sheetId="34" r:id="rId14"/>
    <sheet name="VRE Users" sheetId="33" r:id="rId15"/>
    <sheet name="Assumptions" sheetId="30" r:id="rId16"/>
    <sheet name="Mode Operating Assumptions" sheetId="9" r:id="rId17"/>
    <sheet name="Price Assumptions" sheetId="7" r:id="rId18"/>
    <sheet name="Emissions Assumptions" sheetId="10" r:id="rId19"/>
    <sheet name="FG Current" sheetId="19" r:id="rId20"/>
    <sheet name="FG Discount 3" sheetId="38" r:id="rId21"/>
    <sheet name="FG Discount 7" sheetId="39" r:id="rId22"/>
    <sheet name="FG Graph" sheetId="37" r:id="rId23"/>
    <sheet name="Sheet1" sheetId="36" r:id="rId24"/>
  </sheets>
  <definedNames>
    <definedName name="_AtRisk_SimSetting_AutomaticallyGenerateReports" hidden="1">FALSE</definedName>
    <definedName name="_AtRisk_SimSetting_AutomaticResultsDisplayMode" hidden="1">1</definedName>
    <definedName name="_AtRisk_SimSetting_ConvergenceConfidenceLevel" hidden="1">0.95</definedName>
    <definedName name="_AtRisk_SimSetting_ConvergencePercentileToTest" hidden="1">0.95</definedName>
    <definedName name="_AtRisk_SimSetting_ConvergencePerformMeanTest" hidden="1">TRUE</definedName>
    <definedName name="_AtRisk_SimSetting_ConvergencePerformPercentileTest" hidden="1">TRUE</definedName>
    <definedName name="_AtRisk_SimSetting_ConvergencePerformStdDeviationTest" hidden="1">TRUE</definedName>
    <definedName name="_AtRisk_SimSetting_ConvergenceTestAllOutputs" hidden="1">TRUE</definedName>
    <definedName name="_AtRisk_SimSetting_ConvergenceTestingPeriod" hidden="1">100</definedName>
    <definedName name="_AtRisk_SimSetting_ConvergenceTolerance" hidden="1">0.005</definedName>
    <definedName name="_AtRisk_SimSetting_LiveUpdate" hidden="1">FALSE</definedName>
    <definedName name="_AtRisk_SimSetting_LiveUpdatePeriod" hidden="1">-1</definedName>
    <definedName name="_AtRisk_SimSetting_RandomNumberGenerator" hidden="1">0</definedName>
    <definedName name="_AtRisk_SimSetting_ReportsList" hidden="1">520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1</definedName>
    <definedName name="_AtRisk_SimSetting_StdRecalcWithoutRiskStaticPercentile" hidden="1">0.5</definedName>
    <definedName name="_Fill" localSheetId="1" hidden="1">#REF!</definedName>
    <definedName name="_Fill" localSheetId="2" hidden="1">#REF!</definedName>
    <definedName name="_Fill" localSheetId="5" hidden="1">#REF!</definedName>
    <definedName name="_Fill" localSheetId="6" hidden="1">#REF!</definedName>
    <definedName name="_Fill" localSheetId="7" hidden="1">#REF!</definedName>
    <definedName name="_Fill" localSheetId="8" hidden="1">#REF!</definedName>
    <definedName name="_Fill" localSheetId="9" hidden="1">#REF!</definedName>
    <definedName name="_Fill" localSheetId="10" hidden="1">#REF!</definedName>
    <definedName name="_Fill" hidden="1">#REF!</definedName>
    <definedName name="_Order1" hidden="1">255</definedName>
    <definedName name="_Order2" hidden="1">255</definedName>
    <definedName name="BIG" localSheetId="17" hidden="1">{#N/A,#N/A,FALSE,"Pricing";#N/A,#N/A,FALSE,"Summary";#N/A,#N/A,FALSE,"CompProd";#N/A,#N/A,FALSE,"CompJobhrs";#N/A,#N/A,FALSE,"Escalation";#N/A,#N/A,FALSE,"Contingency";#N/A,#N/A,FALSE,"GM";#N/A,#N/A,FALSE,"CompWage";#N/A,#N/A,FALSE,"costSum"}</definedName>
    <definedName name="BIG" hidden="1">{#N/A,#N/A,FALSE,"Pricing";#N/A,#N/A,FALSE,"Summary";#N/A,#N/A,FALSE,"CompProd";#N/A,#N/A,FALSE,"CompJobhrs";#N/A,#N/A,FALSE,"Escalation";#N/A,#N/A,FALSE,"Contingency";#N/A,#N/A,FALSE,"GM";#N/A,#N/A,FALSE,"CompWage";#N/A,#N/A,FALSE,"costSum"}</definedName>
    <definedName name="CHUCK" localSheetId="17" hidden="1">{#N/A,#N/A,FALSE,"Pricing";#N/A,#N/A,FALSE,"Summary";#N/A,#N/A,FALSE,"CompProd";#N/A,#N/A,FALSE,"CompJobhrs";#N/A,#N/A,FALSE,"Escalation";#N/A,#N/A,FALSE,"Contingency";#N/A,#N/A,FALSE,"GM";#N/A,#N/A,FALSE,"CompWage";#N/A,#N/A,FALSE,"costSum"}</definedName>
    <definedName name="CHUCK" hidden="1">{#N/A,#N/A,FALSE,"Pricing";#N/A,#N/A,FALSE,"Summary";#N/A,#N/A,FALSE,"CompProd";#N/A,#N/A,FALSE,"CompJobhrs";#N/A,#N/A,FALSE,"Escalation";#N/A,#N/A,FALSE,"Contingency";#N/A,#N/A,FALSE,"GM";#N/A,#N/A,FALSE,"CompWage";#N/A,#N/A,FALSE,"costSum"}</definedName>
    <definedName name="JANA" localSheetId="17" hidden="1">{#N/A,#N/A,FALSE,"Pricing";#N/A,#N/A,FALSE,"Summary";#N/A,#N/A,FALSE,"CompProd";#N/A,#N/A,FALSE,"CompJobhrs";#N/A,#N/A,FALSE,"Escalation";#N/A,#N/A,FALSE,"Contingency";#N/A,#N/A,FALSE,"GM";#N/A,#N/A,FALSE,"CompWage";#N/A,#N/A,FALSE,"costSum"}</definedName>
    <definedName name="JANA" hidden="1">{#N/A,#N/A,FALSE,"Pricing";#N/A,#N/A,FALSE,"Summary";#N/A,#N/A,FALSE,"CompProd";#N/A,#N/A,FALSE,"CompJobhrs";#N/A,#N/A,FALSE,"Escalation";#N/A,#N/A,FALSE,"Contingency";#N/A,#N/A,FALSE,"GM";#N/A,#N/A,FALSE,"CompWage";#N/A,#N/A,FALSE,"costSum"}</definedName>
    <definedName name="RiskAfterRecalcMacro" hidden="1">"risky_CP"</definedName>
    <definedName name="RiskAfterSimMacro" hidden="1">""</definedName>
    <definedName name="RiskBeforeRecalcMacro" hidden="1">"macro3"</definedName>
    <definedName name="RiskBeforeSimMacro" hidden="1">""</definedName>
    <definedName name="RiskCollectDistributionSamples" hidden="1">0</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0</definedName>
    <definedName name="RiskUpdateDisplay" hidden="1">FALSE</definedName>
    <definedName name="RiskUseDifferentSeedForEachSim" hidden="1">FALSE</definedName>
    <definedName name="RiskUseFixedSeed" hidden="1">FALSE</definedName>
    <definedName name="RiskUseMultipleCPUs" hidden="1">FALSE</definedName>
    <definedName name="Services2" localSheetId="17" hidden="1">{#N/A,#N/A,FALSE,"Pricing";#N/A,#N/A,FALSE,"Summary";#N/A,#N/A,FALSE,"CompProd";#N/A,#N/A,FALSE,"CompJobhrs";#N/A,#N/A,FALSE,"Escalation";#N/A,#N/A,FALSE,"Contingency";#N/A,#N/A,FALSE,"GM";#N/A,#N/A,FALSE,"CompWage";#N/A,#N/A,FALSE,"costSum"}</definedName>
    <definedName name="Services2" hidden="1">{#N/A,#N/A,FALSE,"Pricing";#N/A,#N/A,FALSE,"Summary";#N/A,#N/A,FALSE,"CompProd";#N/A,#N/A,FALSE,"CompJobhrs";#N/A,#N/A,FALSE,"Escalation";#N/A,#N/A,FALSE,"Contingency";#N/A,#N/A,FALSE,"GM";#N/A,#N/A,FALSE,"CompWage";#N/A,#N/A,FALSE,"costSum"}</definedName>
    <definedName name="temp" localSheetId="17" hidden="1">{#N/A,#N/A,FALSE,"Pricing";#N/A,#N/A,FALSE,"Summary";#N/A,#N/A,FALSE,"CompProd";#N/A,#N/A,FALSE,"CompJobhrs";#N/A,#N/A,FALSE,"Escalation";#N/A,#N/A,FALSE,"Contingency";#N/A,#N/A,FALSE,"GM";#N/A,#N/A,FALSE,"CompWage";#N/A,#N/A,FALSE,"costSum"}</definedName>
    <definedName name="temp" hidden="1">{#N/A,#N/A,FALSE,"Pricing";#N/A,#N/A,FALSE,"Summary";#N/A,#N/A,FALSE,"CompProd";#N/A,#N/A,FALSE,"CompJobhrs";#N/A,#N/A,FALSE,"Escalation";#N/A,#N/A,FALSE,"Contingency";#N/A,#N/A,FALSE,"GM";#N/A,#N/A,FALSE,"CompWage";#N/A,#N/A,FALSE,"costSum"}</definedName>
    <definedName name="test" localSheetId="17" hidden="1">{#N/A,#N/A,FALSE,"Pricing";#N/A,#N/A,FALSE,"Summary";#N/A,#N/A,FALSE,"CompProd";#N/A,#N/A,FALSE,"CompJobhrs";#N/A,#N/A,FALSE,"Escalation";#N/A,#N/A,FALSE,"Contingency";#N/A,#N/A,FALSE,"GM";#N/A,#N/A,FALSE,"CompWage";#N/A,#N/A,FALSE,"costSum"}</definedName>
    <definedName name="test" hidden="1">{#N/A,#N/A,FALSE,"Pricing";#N/A,#N/A,FALSE,"Summary";#N/A,#N/A,FALSE,"CompProd";#N/A,#N/A,FALSE,"CompJobhrs";#N/A,#N/A,FALSE,"Escalation";#N/A,#N/A,FALSE,"Contingency";#N/A,#N/A,FALSE,"GM";#N/A,#N/A,FALSE,"CompWage";#N/A,#N/A,FALSE,"costSum"}</definedName>
    <definedName name="wrn.all." localSheetId="17" hidden="1">{#N/A,#N/A,FALSE,"Pricing";#N/A,#N/A,FALSE,"Summary";#N/A,#N/A,FALSE,"CompProd";#N/A,#N/A,FALSE,"CompJobhrs";#N/A,#N/A,FALSE,"Escalation";#N/A,#N/A,FALSE,"Contingency";#N/A,#N/A,FALSE,"GM";#N/A,#N/A,FALSE,"CompWage";#N/A,#N/A,FALSE,"costSum"}</definedName>
    <definedName name="wrn.all." hidden="1">{#N/A,#N/A,FALSE,"Pricing";#N/A,#N/A,FALSE,"Summary";#N/A,#N/A,FALSE,"CompProd";#N/A,#N/A,FALSE,"CompJobhrs";#N/A,#N/A,FALSE,"Escalation";#N/A,#N/A,FALSE,"Contingency";#N/A,#N/A,FALSE,"GM";#N/A,#N/A,FALSE,"CompWage";#N/A,#N/A,FALSE,"costSum"}</definedName>
    <definedName name="wrn.ESTIMATE." localSheetId="17" hidden="1">{#N/A,#N/A,FALSE,"SUM";#N/A,#N/A,FALSE,"MECH.";#N/A,#N/A,FALSE,"PIPE";#N/A,#N/A,FALSE,"ELECT";#N/A,#N/A,FALSE,"PR CONT";#N/A,#N/A,FALSE,"STRUCT"}</definedName>
    <definedName name="wrn.ESTIMATE." hidden="1">{#N/A,#N/A,FALSE,"SUM";#N/A,#N/A,FALSE,"MECH.";#N/A,#N/A,FALSE,"PIPE";#N/A,#N/A,FALSE,"ELECT";#N/A,#N/A,FALSE,"PR CONT";#N/A,#N/A,FALSE,"STRUCT"}</definedName>
    <definedName name="wrn.Labor._.Cost._.Workbook." localSheetId="17" hidden="1">{#N/A,#N/A,FALSE,"RATES";#N/A,#N/A,FALSE,"LOADED RATES"}</definedName>
    <definedName name="wrn.Labor._.Cost._.Workbook." hidden="1">{#N/A,#N/A,FALSE,"RATES";#N/A,#N/A,FALSE,"LOADED RATES"}</definedName>
  </definedNames>
  <calcPr calcId="125725"/>
</workbook>
</file>

<file path=xl/calcChain.xml><?xml version="1.0" encoding="utf-8"?>
<calcChain xmlns="http://schemas.openxmlformats.org/spreadsheetml/2006/main">
  <c r="D75" i="24"/>
  <c r="D74"/>
  <c r="D73"/>
  <c r="Z126"/>
  <c r="Z125"/>
  <c r="Z124"/>
  <c r="Y126"/>
  <c r="X126"/>
  <c r="W126"/>
  <c r="V126"/>
  <c r="U126"/>
  <c r="T126"/>
  <c r="S126"/>
  <c r="R126"/>
  <c r="Q126"/>
  <c r="P126"/>
  <c r="O126"/>
  <c r="N126"/>
  <c r="M126"/>
  <c r="L126"/>
  <c r="K126"/>
  <c r="J126"/>
  <c r="I126"/>
  <c r="H126"/>
  <c r="G126"/>
  <c r="F126"/>
  <c r="E126"/>
  <c r="D126"/>
  <c r="C126"/>
  <c r="Y125"/>
  <c r="X125"/>
  <c r="W125"/>
  <c r="V125"/>
  <c r="U125"/>
  <c r="T125"/>
  <c r="S125"/>
  <c r="R125"/>
  <c r="Q125"/>
  <c r="P125"/>
  <c r="O125"/>
  <c r="N125"/>
  <c r="M125"/>
  <c r="L125"/>
  <c r="K125"/>
  <c r="J125"/>
  <c r="I125"/>
  <c r="H125"/>
  <c r="G125"/>
  <c r="F125"/>
  <c r="E125"/>
  <c r="D125"/>
  <c r="C125"/>
  <c r="Y124"/>
  <c r="X124"/>
  <c r="W124"/>
  <c r="V124"/>
  <c r="U124"/>
  <c r="T124"/>
  <c r="S124"/>
  <c r="R124"/>
  <c r="Q124"/>
  <c r="P124"/>
  <c r="O124"/>
  <c r="N124"/>
  <c r="M124"/>
  <c r="L124"/>
  <c r="K124"/>
  <c r="J124"/>
  <c r="I124"/>
  <c r="H124"/>
  <c r="G124"/>
  <c r="F124"/>
  <c r="E124"/>
  <c r="D124"/>
  <c r="C124"/>
  <c r="B126"/>
  <c r="B125"/>
  <c r="B124"/>
  <c r="I45" i="47"/>
  <c r="H45"/>
  <c r="G45"/>
  <c r="I45" i="45"/>
  <c r="H45"/>
  <c r="G45" i="46"/>
  <c r="I45"/>
  <c r="H45"/>
  <c r="J45"/>
  <c r="C71" i="24"/>
  <c r="Y122"/>
  <c r="X122"/>
  <c r="W122"/>
  <c r="V122"/>
  <c r="U122"/>
  <c r="T122"/>
  <c r="S122"/>
  <c r="R122"/>
  <c r="Q122"/>
  <c r="P122"/>
  <c r="O122"/>
  <c r="N122"/>
  <c r="M122"/>
  <c r="L122"/>
  <c r="K122"/>
  <c r="J122"/>
  <c r="B71" s="1"/>
  <c r="I122"/>
  <c r="H122"/>
  <c r="G122"/>
  <c r="F122"/>
  <c r="E122"/>
  <c r="D122"/>
  <c r="C122"/>
  <c r="Y121"/>
  <c r="C70" s="1"/>
  <c r="X121"/>
  <c r="W121"/>
  <c r="V121"/>
  <c r="U121"/>
  <c r="T121"/>
  <c r="S121"/>
  <c r="R121"/>
  <c r="Q121"/>
  <c r="P121"/>
  <c r="O121"/>
  <c r="N121"/>
  <c r="M121"/>
  <c r="L121"/>
  <c r="K121"/>
  <c r="J121"/>
  <c r="B70" s="1"/>
  <c r="I121"/>
  <c r="H121"/>
  <c r="G121"/>
  <c r="F121"/>
  <c r="E121"/>
  <c r="D121"/>
  <c r="C121"/>
  <c r="Y120"/>
  <c r="C69" s="1"/>
  <c r="X120"/>
  <c r="W120"/>
  <c r="V120"/>
  <c r="U120"/>
  <c r="T120"/>
  <c r="S120"/>
  <c r="R120"/>
  <c r="Q120"/>
  <c r="P120"/>
  <c r="O120"/>
  <c r="N120"/>
  <c r="M120"/>
  <c r="L120"/>
  <c r="K120"/>
  <c r="J120"/>
  <c r="B69" s="1"/>
  <c r="I120"/>
  <c r="H120"/>
  <c r="G120"/>
  <c r="F120"/>
  <c r="E120"/>
  <c r="D120"/>
  <c r="C120"/>
  <c r="Y119"/>
  <c r="C68" s="1"/>
  <c r="X119"/>
  <c r="W119"/>
  <c r="V119"/>
  <c r="U119"/>
  <c r="T119"/>
  <c r="S119"/>
  <c r="R119"/>
  <c r="Q119"/>
  <c r="P119"/>
  <c r="O119"/>
  <c r="N119"/>
  <c r="M119"/>
  <c r="L119"/>
  <c r="K119"/>
  <c r="J119"/>
  <c r="B68" s="1"/>
  <c r="I119"/>
  <c r="H119"/>
  <c r="G119"/>
  <c r="F119"/>
  <c r="E119"/>
  <c r="D119"/>
  <c r="C119"/>
  <c r="Y118"/>
  <c r="C67" s="1"/>
  <c r="X118"/>
  <c r="W118"/>
  <c r="V118"/>
  <c r="U118"/>
  <c r="T118"/>
  <c r="S118"/>
  <c r="R118"/>
  <c r="Q118"/>
  <c r="P118"/>
  <c r="O118"/>
  <c r="N118"/>
  <c r="M118"/>
  <c r="L118"/>
  <c r="K118"/>
  <c r="J118"/>
  <c r="B67" s="1"/>
  <c r="I118"/>
  <c r="H118"/>
  <c r="G118"/>
  <c r="F118"/>
  <c r="E118"/>
  <c r="D118"/>
  <c r="C118"/>
  <c r="Y116"/>
  <c r="C65" s="1"/>
  <c r="X116"/>
  <c r="W116"/>
  <c r="V116"/>
  <c r="U116"/>
  <c r="T116"/>
  <c r="S116"/>
  <c r="R116"/>
  <c r="Q116"/>
  <c r="P116"/>
  <c r="O116"/>
  <c r="N116"/>
  <c r="M116"/>
  <c r="L116"/>
  <c r="K116"/>
  <c r="J116"/>
  <c r="B65" s="1"/>
  <c r="I116"/>
  <c r="H116"/>
  <c r="G116"/>
  <c r="F116"/>
  <c r="E116"/>
  <c r="D116"/>
  <c r="C116"/>
  <c r="Y115"/>
  <c r="C64" s="1"/>
  <c r="X115"/>
  <c r="W115"/>
  <c r="V115"/>
  <c r="U115"/>
  <c r="T115"/>
  <c r="S115"/>
  <c r="R115"/>
  <c r="Q115"/>
  <c r="P115"/>
  <c r="O115"/>
  <c r="N115"/>
  <c r="M115"/>
  <c r="L115"/>
  <c r="K115"/>
  <c r="J115"/>
  <c r="B64" s="1"/>
  <c r="I115"/>
  <c r="H115"/>
  <c r="G115"/>
  <c r="F115"/>
  <c r="E115"/>
  <c r="D115"/>
  <c r="C115"/>
  <c r="B122"/>
  <c r="D71" s="1"/>
  <c r="B121"/>
  <c r="D70" s="1"/>
  <c r="B120"/>
  <c r="D69" s="1"/>
  <c r="B119"/>
  <c r="D68" s="1"/>
  <c r="B118"/>
  <c r="D67" s="1"/>
  <c r="B116"/>
  <c r="D65" s="1"/>
  <c r="B115"/>
  <c r="D64" s="1"/>
  <c r="Y114"/>
  <c r="C63" s="1"/>
  <c r="X114"/>
  <c r="W114"/>
  <c r="V114"/>
  <c r="U114"/>
  <c r="T114"/>
  <c r="S114"/>
  <c r="R114"/>
  <c r="Q114"/>
  <c r="P114"/>
  <c r="O114"/>
  <c r="N114"/>
  <c r="M114"/>
  <c r="L114"/>
  <c r="K114"/>
  <c r="J114"/>
  <c r="B63" s="1"/>
  <c r="I114"/>
  <c r="H114"/>
  <c r="G114"/>
  <c r="F114"/>
  <c r="E114"/>
  <c r="D114"/>
  <c r="C114"/>
  <c r="B114"/>
  <c r="D63" s="1"/>
  <c r="Y113"/>
  <c r="C62" s="1"/>
  <c r="X113"/>
  <c r="W113"/>
  <c r="V113"/>
  <c r="U113"/>
  <c r="T113"/>
  <c r="S113"/>
  <c r="R113"/>
  <c r="Q113"/>
  <c r="P113"/>
  <c r="O113"/>
  <c r="N113"/>
  <c r="M113"/>
  <c r="L113"/>
  <c r="K113"/>
  <c r="J113"/>
  <c r="B62" s="1"/>
  <c r="I113"/>
  <c r="H113"/>
  <c r="G113"/>
  <c r="F113"/>
  <c r="E113"/>
  <c r="D113"/>
  <c r="C113"/>
  <c r="Y112"/>
  <c r="C61" s="1"/>
  <c r="X112"/>
  <c r="W112"/>
  <c r="V112"/>
  <c r="U112"/>
  <c r="T112"/>
  <c r="S112"/>
  <c r="R112"/>
  <c r="Q112"/>
  <c r="P112"/>
  <c r="O112"/>
  <c r="N112"/>
  <c r="M112"/>
  <c r="L112"/>
  <c r="K112"/>
  <c r="J112"/>
  <c r="B61" s="1"/>
  <c r="I112"/>
  <c r="H112"/>
  <c r="G112"/>
  <c r="F112"/>
  <c r="E112"/>
  <c r="D112"/>
  <c r="C112"/>
  <c r="B112"/>
  <c r="D61" s="1"/>
  <c r="B113"/>
  <c r="D62" s="1"/>
  <c r="D210" i="44" l="1"/>
  <c r="D231"/>
  <c r="D210" i="46"/>
  <c r="D209"/>
  <c r="D208"/>
  <c r="D207"/>
  <c r="D206"/>
  <c r="D205"/>
  <c r="D201"/>
  <c r="D200"/>
  <c r="D199"/>
  <c r="D198"/>
  <c r="D197" s="1"/>
  <c r="D213" i="45"/>
  <c r="D212"/>
  <c r="D211"/>
  <c r="D210"/>
  <c r="D209"/>
  <c r="D208"/>
  <c r="D204"/>
  <c r="D203"/>
  <c r="D202"/>
  <c r="D201"/>
  <c r="D200" s="1"/>
  <c r="D209" i="47"/>
  <c r="D208"/>
  <c r="D207"/>
  <c r="D206"/>
  <c r="D205"/>
  <c r="D204"/>
  <c r="D200"/>
  <c r="D196" s="1"/>
  <c r="D199"/>
  <c r="D198"/>
  <c r="D197"/>
  <c r="B104" i="24"/>
  <c r="C104" s="1"/>
  <c r="D104" s="1"/>
  <c r="E104" s="1"/>
  <c r="F104" s="1"/>
  <c r="G104" s="1"/>
  <c r="H104" s="1"/>
  <c r="I104" s="1"/>
  <c r="J104" s="1"/>
  <c r="K104" s="1"/>
  <c r="L104" s="1"/>
  <c r="M104" s="1"/>
  <c r="N104" s="1"/>
  <c r="O104" s="1"/>
  <c r="P104" s="1"/>
  <c r="Q104" s="1"/>
  <c r="R104" s="1"/>
  <c r="S104" s="1"/>
  <c r="T104" s="1"/>
  <c r="U104" s="1"/>
  <c r="V104" s="1"/>
  <c r="W104" s="1"/>
  <c r="X104" s="1"/>
  <c r="Y104" s="1"/>
  <c r="B101"/>
  <c r="C101" s="1"/>
  <c r="D101" s="1"/>
  <c r="E101" s="1"/>
  <c r="F101" s="1"/>
  <c r="G101" s="1"/>
  <c r="H101" s="1"/>
  <c r="I101" s="1"/>
  <c r="J101" s="1"/>
  <c r="K101" s="1"/>
  <c r="L101" s="1"/>
  <c r="M101" s="1"/>
  <c r="N101" s="1"/>
  <c r="O101" s="1"/>
  <c r="P101" s="1"/>
  <c r="Q101" s="1"/>
  <c r="R101" s="1"/>
  <c r="S101" s="1"/>
  <c r="T101" s="1"/>
  <c r="U101" s="1"/>
  <c r="V101" s="1"/>
  <c r="W101" s="1"/>
  <c r="X101" s="1"/>
  <c r="Y101" s="1"/>
  <c r="D277" i="35"/>
  <c r="D296"/>
  <c r="G21" i="24"/>
  <c r="H21"/>
  <c r="D322" i="29"/>
  <c r="D321"/>
  <c r="D320"/>
  <c r="D319"/>
  <c r="D318"/>
  <c r="D317"/>
  <c r="D316"/>
  <c r="D315" s="1"/>
  <c r="D313"/>
  <c r="D312"/>
  <c r="D311"/>
  <c r="D310"/>
  <c r="D309"/>
  <c r="D174" i="34"/>
  <c r="D151"/>
  <c r="D150"/>
  <c r="D149"/>
  <c r="D148"/>
  <c r="D147"/>
  <c r="D146"/>
  <c r="D145"/>
  <c r="D144" s="1"/>
  <c r="D142"/>
  <c r="D141"/>
  <c r="D140"/>
  <c r="D139"/>
  <c r="D138" s="1"/>
  <c r="D273" i="35"/>
  <c r="D272"/>
  <c r="D271"/>
  <c r="D270"/>
  <c r="D269"/>
  <c r="D268"/>
  <c r="D267"/>
  <c r="D266" s="1"/>
  <c r="D264"/>
  <c r="D263"/>
  <c r="D262"/>
  <c r="D261"/>
  <c r="D260" s="1"/>
  <c r="D206" i="44"/>
  <c r="D205"/>
  <c r="D204"/>
  <c r="D203"/>
  <c r="D202"/>
  <c r="D201"/>
  <c r="D200"/>
  <c r="D199" s="1"/>
  <c r="D197"/>
  <c r="D196"/>
  <c r="D195"/>
  <c r="D194"/>
  <c r="D193" s="1"/>
  <c r="D13" i="40"/>
  <c r="D12"/>
  <c r="D11"/>
  <c r="D7"/>
  <c r="D6"/>
  <c r="D5"/>
  <c r="D78" i="35"/>
  <c r="D43" i="45"/>
  <c r="AC71"/>
  <c r="AB71"/>
  <c r="AA71"/>
  <c r="Z71"/>
  <c r="Y71"/>
  <c r="X71"/>
  <c r="W71"/>
  <c r="V71"/>
  <c r="U71"/>
  <c r="T71"/>
  <c r="S71"/>
  <c r="R71"/>
  <c r="Q71"/>
  <c r="P71"/>
  <c r="O71"/>
  <c r="N71"/>
  <c r="M71"/>
  <c r="L71"/>
  <c r="K71"/>
  <c r="J71"/>
  <c r="I71"/>
  <c r="H71"/>
  <c r="G71"/>
  <c r="F71"/>
  <c r="D69"/>
  <c r="D69" i="47"/>
  <c r="AC71" s="1"/>
  <c r="AB71"/>
  <c r="AA71"/>
  <c r="Z71"/>
  <c r="Y71"/>
  <c r="X71"/>
  <c r="W71"/>
  <c r="V71"/>
  <c r="U71"/>
  <c r="T71"/>
  <c r="S71"/>
  <c r="R71"/>
  <c r="Q71"/>
  <c r="P71"/>
  <c r="O71"/>
  <c r="N71"/>
  <c r="M71"/>
  <c r="L71"/>
  <c r="K71"/>
  <c r="J71"/>
  <c r="I71"/>
  <c r="H71"/>
  <c r="G71"/>
  <c r="F71"/>
  <c r="D43"/>
  <c r="D69" i="46"/>
  <c r="AC71"/>
  <c r="AB71"/>
  <c r="AA71"/>
  <c r="Z71"/>
  <c r="Y71"/>
  <c r="X71"/>
  <c r="W71"/>
  <c r="V71"/>
  <c r="U71"/>
  <c r="T71"/>
  <c r="S71"/>
  <c r="R71"/>
  <c r="Q71"/>
  <c r="P71"/>
  <c r="O71"/>
  <c r="N71"/>
  <c r="M71"/>
  <c r="L71"/>
  <c r="K71"/>
  <c r="J71"/>
  <c r="I71"/>
  <c r="H71"/>
  <c r="D43"/>
  <c r="D63" i="44"/>
  <c r="D37"/>
  <c r="D248" i="29" l="1"/>
  <c r="Z117" i="31"/>
  <c r="Y117"/>
  <c r="X117"/>
  <c r="W117"/>
  <c r="V117"/>
  <c r="U117"/>
  <c r="T117"/>
  <c r="S117"/>
  <c r="R117"/>
  <c r="Q117"/>
  <c r="P117"/>
  <c r="O117"/>
  <c r="N117"/>
  <c r="M117"/>
  <c r="L117"/>
  <c r="K117"/>
  <c r="J117"/>
  <c r="I117"/>
  <c r="H117"/>
  <c r="G117"/>
  <c r="F117"/>
  <c r="E117"/>
  <c r="D117"/>
  <c r="C117"/>
  <c r="D151" i="29" l="1"/>
  <c r="F212" i="35"/>
  <c r="B69" i="32"/>
  <c r="Z68" i="40" l="1"/>
  <c r="Y68"/>
  <c r="X68"/>
  <c r="W68"/>
  <c r="V68"/>
  <c r="U68"/>
  <c r="T68"/>
  <c r="S68"/>
  <c r="R68"/>
  <c r="Q68"/>
  <c r="P68"/>
  <c r="O68"/>
  <c r="N68"/>
  <c r="M68"/>
  <c r="L68"/>
  <c r="K68"/>
  <c r="J68"/>
  <c r="I68"/>
  <c r="H68"/>
  <c r="G68"/>
  <c r="F68"/>
  <c r="E68"/>
  <c r="D68"/>
  <c r="D72" i="44"/>
  <c r="C102" i="9"/>
  <c r="F76" i="44"/>
  <c r="C33" i="9"/>
  <c r="F49" i="44"/>
  <c r="D70" i="40"/>
  <c r="D69"/>
  <c r="C68" l="1"/>
  <c r="BK295" i="29"/>
  <c r="AF294"/>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D211" l="1"/>
  <c r="D112" i="34"/>
  <c r="G111"/>
  <c r="F111"/>
  <c r="D110"/>
  <c r="AD108"/>
  <c r="D69" i="43"/>
  <c r="D68"/>
  <c r="D13"/>
  <c r="D12"/>
  <c r="D78"/>
  <c r="D77"/>
  <c r="G112" i="34" l="1"/>
  <c r="G109"/>
  <c r="G110" s="1"/>
  <c r="F109"/>
  <c r="F110" s="1"/>
  <c r="F112"/>
  <c r="AD217" i="35" l="1"/>
  <c r="D170" i="47"/>
  <c r="D164"/>
  <c r="AD149" i="44"/>
  <c r="AD156" i="47"/>
  <c r="AD155" i="46"/>
  <c r="AD155" i="45"/>
  <c r="Z75" i="43"/>
  <c r="Y75"/>
  <c r="X75"/>
  <c r="W75"/>
  <c r="V75"/>
  <c r="U75"/>
  <c r="T75"/>
  <c r="S75"/>
  <c r="R75"/>
  <c r="Q75"/>
  <c r="P75"/>
  <c r="O75"/>
  <c r="N75"/>
  <c r="M75"/>
  <c r="L75"/>
  <c r="K75"/>
  <c r="J75"/>
  <c r="I75"/>
  <c r="H75"/>
  <c r="G75"/>
  <c r="F75"/>
  <c r="E75"/>
  <c r="D75"/>
  <c r="D11" s="1"/>
  <c r="C75"/>
  <c r="W72"/>
  <c r="X72" s="1"/>
  <c r="Y72" s="1"/>
  <c r="Z72" s="1"/>
  <c r="V72"/>
  <c r="D72"/>
  <c r="E72" s="1"/>
  <c r="F72" s="1"/>
  <c r="G72" s="1"/>
  <c r="H72" s="1"/>
  <c r="I72" s="1"/>
  <c r="J72" s="1"/>
  <c r="K72" s="1"/>
  <c r="L72" s="1"/>
  <c r="M72" s="1"/>
  <c r="N72" s="1"/>
  <c r="O72" s="1"/>
  <c r="P72" s="1"/>
  <c r="Q72" s="1"/>
  <c r="R72" s="1"/>
  <c r="S72" s="1"/>
  <c r="T72" s="1"/>
  <c r="U72" s="1"/>
  <c r="F17" i="47"/>
  <c r="F16"/>
  <c r="G15" i="44"/>
  <c r="F15"/>
  <c r="AC17" i="46"/>
  <c r="AB17"/>
  <c r="AA17"/>
  <c r="Z17"/>
  <c r="Y17"/>
  <c r="X17"/>
  <c r="W17"/>
  <c r="V17"/>
  <c r="U17"/>
  <c r="T17"/>
  <c r="S17"/>
  <c r="R17"/>
  <c r="Q17"/>
  <c r="P17"/>
  <c r="O17"/>
  <c r="N17"/>
  <c r="M17"/>
  <c r="L17"/>
  <c r="K17"/>
  <c r="J17"/>
  <c r="I17"/>
  <c r="H17"/>
  <c r="G17"/>
  <c r="F17"/>
  <c r="AC16"/>
  <c r="AB16"/>
  <c r="AA16"/>
  <c r="Z16"/>
  <c r="Y16"/>
  <c r="X16"/>
  <c r="W16"/>
  <c r="V16"/>
  <c r="U16"/>
  <c r="T16"/>
  <c r="S16"/>
  <c r="R16"/>
  <c r="Q16"/>
  <c r="P16"/>
  <c r="O16"/>
  <c r="N16"/>
  <c r="M16"/>
  <c r="L16"/>
  <c r="K16"/>
  <c r="J16"/>
  <c r="I16"/>
  <c r="H16"/>
  <c r="G16"/>
  <c r="F16"/>
  <c r="AC15"/>
  <c r="AB15"/>
  <c r="AA15"/>
  <c r="Z15"/>
  <c r="Y15"/>
  <c r="X15"/>
  <c r="W15"/>
  <c r="V15"/>
  <c r="U15"/>
  <c r="T15"/>
  <c r="S15"/>
  <c r="R15"/>
  <c r="Q15"/>
  <c r="P15"/>
  <c r="O15"/>
  <c r="N15"/>
  <c r="M15"/>
  <c r="L15"/>
  <c r="K15"/>
  <c r="J15"/>
  <c r="I15"/>
  <c r="H15"/>
  <c r="G15"/>
  <c r="F15"/>
  <c r="AC199" i="47"/>
  <c r="AB199"/>
  <c r="AA199"/>
  <c r="Z199"/>
  <c r="Y199"/>
  <c r="X199"/>
  <c r="W199"/>
  <c r="V199"/>
  <c r="U199"/>
  <c r="T199"/>
  <c r="S199"/>
  <c r="R199"/>
  <c r="Q199"/>
  <c r="P199"/>
  <c r="O199"/>
  <c r="N199"/>
  <c r="M199"/>
  <c r="L199"/>
  <c r="K199"/>
  <c r="J199"/>
  <c r="I199"/>
  <c r="H199"/>
  <c r="AC200" i="46"/>
  <c r="AB200"/>
  <c r="AA200"/>
  <c r="Z200"/>
  <c r="Y200"/>
  <c r="X200"/>
  <c r="W200"/>
  <c r="V200"/>
  <c r="U200"/>
  <c r="T200"/>
  <c r="S200"/>
  <c r="R200"/>
  <c r="Q200"/>
  <c r="P200"/>
  <c r="O200"/>
  <c r="N200"/>
  <c r="M200"/>
  <c r="L200"/>
  <c r="K200"/>
  <c r="AC203" i="45"/>
  <c r="AB203"/>
  <c r="AA203"/>
  <c r="Z203"/>
  <c r="Y203"/>
  <c r="X203"/>
  <c r="W203"/>
  <c r="V203"/>
  <c r="U203"/>
  <c r="T203"/>
  <c r="S203"/>
  <c r="R203"/>
  <c r="Q203"/>
  <c r="P203"/>
  <c r="O203"/>
  <c r="N203"/>
  <c r="M203"/>
  <c r="L203"/>
  <c r="K203"/>
  <c r="Z25" i="42"/>
  <c r="AC21" i="46" s="1"/>
  <c r="Y25" i="42"/>
  <c r="AB21" i="46" s="1"/>
  <c r="X25" i="42"/>
  <c r="W25"/>
  <c r="V25"/>
  <c r="Y21" i="46" s="1"/>
  <c r="U25" i="42"/>
  <c r="X21" i="46" s="1"/>
  <c r="T25" i="42"/>
  <c r="S25"/>
  <c r="R25"/>
  <c r="U21" i="46" s="1"/>
  <c r="Q25" i="42"/>
  <c r="T21" i="46" s="1"/>
  <c r="P25" i="42"/>
  <c r="O25"/>
  <c r="N25"/>
  <c r="Q21" i="46" s="1"/>
  <c r="M25" i="42"/>
  <c r="P21" i="46" s="1"/>
  <c r="L25" i="42"/>
  <c r="K25"/>
  <c r="J25"/>
  <c r="M21" i="46" s="1"/>
  <c r="I25" i="42"/>
  <c r="L21" i="46" s="1"/>
  <c r="H25" i="42"/>
  <c r="G25"/>
  <c r="F25"/>
  <c r="I21" i="46" s="1"/>
  <c r="E25" i="42"/>
  <c r="H21" i="46" s="1"/>
  <c r="F21" i="44"/>
  <c r="AC22" i="45"/>
  <c r="AB22"/>
  <c r="AA22"/>
  <c r="Z22"/>
  <c r="Y22"/>
  <c r="X22"/>
  <c r="W22"/>
  <c r="V22"/>
  <c r="U22"/>
  <c r="T22"/>
  <c r="S22"/>
  <c r="R22"/>
  <c r="Q22"/>
  <c r="P22"/>
  <c r="O22"/>
  <c r="N22"/>
  <c r="M22"/>
  <c r="L22"/>
  <c r="K22"/>
  <c r="J22"/>
  <c r="I22"/>
  <c r="H22"/>
  <c r="G22"/>
  <c r="F22"/>
  <c r="AC21"/>
  <c r="AB21"/>
  <c r="AA21"/>
  <c r="Z21"/>
  <c r="Y21"/>
  <c r="X21"/>
  <c r="W21"/>
  <c r="V21"/>
  <c r="U21"/>
  <c r="T21"/>
  <c r="S21"/>
  <c r="R21"/>
  <c r="Q21"/>
  <c r="P21"/>
  <c r="O21"/>
  <c r="N21"/>
  <c r="M21"/>
  <c r="L21"/>
  <c r="K21"/>
  <c r="J21"/>
  <c r="I21"/>
  <c r="H21"/>
  <c r="G21"/>
  <c r="F21"/>
  <c r="AC20"/>
  <c r="AB20"/>
  <c r="AA20"/>
  <c r="Z20"/>
  <c r="Y20"/>
  <c r="X20"/>
  <c r="W20"/>
  <c r="V20"/>
  <c r="U20"/>
  <c r="T20"/>
  <c r="S20"/>
  <c r="R20"/>
  <c r="Q20"/>
  <c r="P20"/>
  <c r="O20"/>
  <c r="N20"/>
  <c r="M20"/>
  <c r="L20"/>
  <c r="K20"/>
  <c r="J20"/>
  <c r="I20"/>
  <c r="H20"/>
  <c r="G20"/>
  <c r="F20"/>
  <c r="AC22" i="46"/>
  <c r="AB22"/>
  <c r="AA22"/>
  <c r="Z22"/>
  <c r="Y22"/>
  <c r="X22"/>
  <c r="W22"/>
  <c r="V22"/>
  <c r="U22"/>
  <c r="T22"/>
  <c r="S22"/>
  <c r="R22"/>
  <c r="Q22"/>
  <c r="P22"/>
  <c r="O22"/>
  <c r="N22"/>
  <c r="M22"/>
  <c r="L22"/>
  <c r="K22"/>
  <c r="J22"/>
  <c r="I22"/>
  <c r="H22"/>
  <c r="G22"/>
  <c r="F22"/>
  <c r="AA21"/>
  <c r="Z21"/>
  <c r="W21"/>
  <c r="V21"/>
  <c r="S21"/>
  <c r="R21"/>
  <c r="O21"/>
  <c r="N21"/>
  <c r="K21"/>
  <c r="J21"/>
  <c r="G21"/>
  <c r="F21"/>
  <c r="AC20"/>
  <c r="AB20"/>
  <c r="AA20"/>
  <c r="Z20"/>
  <c r="Y20"/>
  <c r="X20"/>
  <c r="W20"/>
  <c r="V20"/>
  <c r="U20"/>
  <c r="T20"/>
  <c r="S20"/>
  <c r="R20"/>
  <c r="Q20"/>
  <c r="P20"/>
  <c r="O20"/>
  <c r="N20"/>
  <c r="M20"/>
  <c r="L20"/>
  <c r="K20"/>
  <c r="J20"/>
  <c r="I20"/>
  <c r="H20"/>
  <c r="G20"/>
  <c r="F20"/>
  <c r="F22" i="47"/>
  <c r="G21"/>
  <c r="F21"/>
  <c r="F20"/>
  <c r="D18" i="43"/>
  <c r="Z20" i="42"/>
  <c r="Y20"/>
  <c r="X20"/>
  <c r="W20"/>
  <c r="V20"/>
  <c r="U20"/>
  <c r="T20"/>
  <c r="S20"/>
  <c r="R20"/>
  <c r="Q20"/>
  <c r="P20"/>
  <c r="O20"/>
  <c r="N20"/>
  <c r="M20"/>
  <c r="L20"/>
  <c r="K20"/>
  <c r="J20"/>
  <c r="I20"/>
  <c r="H20"/>
  <c r="G20"/>
  <c r="F20"/>
  <c r="E20"/>
  <c r="Z17" i="43"/>
  <c r="Y17"/>
  <c r="X17"/>
  <c r="W17"/>
  <c r="V17"/>
  <c r="U17"/>
  <c r="T17"/>
  <c r="S17"/>
  <c r="R17"/>
  <c r="Q17"/>
  <c r="P17"/>
  <c r="O17"/>
  <c r="N17"/>
  <c r="M17"/>
  <c r="L17"/>
  <c r="K17"/>
  <c r="J17"/>
  <c r="I17"/>
  <c r="H17"/>
  <c r="G17"/>
  <c r="F17"/>
  <c r="E17"/>
  <c r="D18" i="42"/>
  <c r="Z17"/>
  <c r="Y17"/>
  <c r="X17"/>
  <c r="W17"/>
  <c r="V17"/>
  <c r="U17"/>
  <c r="T17"/>
  <c r="S17"/>
  <c r="R17"/>
  <c r="Q17"/>
  <c r="P17"/>
  <c r="O17"/>
  <c r="N17"/>
  <c r="M17"/>
  <c r="L17"/>
  <c r="K17"/>
  <c r="J17"/>
  <c r="I17"/>
  <c r="H17"/>
  <c r="G17"/>
  <c r="F17"/>
  <c r="E17"/>
  <c r="G30" i="45"/>
  <c r="G29"/>
  <c r="G28"/>
  <c r="D19" i="41"/>
  <c r="D18"/>
  <c r="G30" i="47"/>
  <c r="AC28"/>
  <c r="AB28"/>
  <c r="AA28"/>
  <c r="Z28"/>
  <c r="Y28"/>
  <c r="X28"/>
  <c r="W28"/>
  <c r="V28"/>
  <c r="U28"/>
  <c r="T28"/>
  <c r="S28"/>
  <c r="R28"/>
  <c r="Q28"/>
  <c r="P28"/>
  <c r="O28"/>
  <c r="N28"/>
  <c r="M28"/>
  <c r="L28"/>
  <c r="K28"/>
  <c r="J28"/>
  <c r="I28"/>
  <c r="H28"/>
  <c r="G28"/>
  <c r="F30"/>
  <c r="F29"/>
  <c r="F28"/>
  <c r="G30" i="46"/>
  <c r="AC29"/>
  <c r="AB29"/>
  <c r="AA29"/>
  <c r="Z29"/>
  <c r="Y29"/>
  <c r="X29"/>
  <c r="W29"/>
  <c r="V29"/>
  <c r="U29"/>
  <c r="T29"/>
  <c r="S29"/>
  <c r="R29"/>
  <c r="Q29"/>
  <c r="P29"/>
  <c r="O29"/>
  <c r="N29"/>
  <c r="M29"/>
  <c r="L29"/>
  <c r="K29"/>
  <c r="J29"/>
  <c r="I29"/>
  <c r="H29"/>
  <c r="G29"/>
  <c r="AC28"/>
  <c r="AB28"/>
  <c r="AA28"/>
  <c r="Z28"/>
  <c r="Y28"/>
  <c r="X28"/>
  <c r="W28"/>
  <c r="V28"/>
  <c r="U28"/>
  <c r="T28"/>
  <c r="S28"/>
  <c r="R28"/>
  <c r="Q28"/>
  <c r="P28"/>
  <c r="O28"/>
  <c r="N28"/>
  <c r="M28"/>
  <c r="L28"/>
  <c r="K28"/>
  <c r="J28"/>
  <c r="I28"/>
  <c r="H28"/>
  <c r="G28"/>
  <c r="F30"/>
  <c r="F29"/>
  <c r="F28"/>
  <c r="AC30" i="45"/>
  <c r="AB30"/>
  <c r="AA30"/>
  <c r="Z30"/>
  <c r="Y30"/>
  <c r="X30"/>
  <c r="W30"/>
  <c r="V30"/>
  <c r="U30"/>
  <c r="T30"/>
  <c r="S30"/>
  <c r="R30"/>
  <c r="Q30"/>
  <c r="P30"/>
  <c r="O30"/>
  <c r="N30"/>
  <c r="M30"/>
  <c r="L30"/>
  <c r="K30"/>
  <c r="J30"/>
  <c r="I30"/>
  <c r="H30"/>
  <c r="AC29"/>
  <c r="AB29"/>
  <c r="AA29"/>
  <c r="Z29"/>
  <c r="Y29"/>
  <c r="X29"/>
  <c r="W29"/>
  <c r="V29"/>
  <c r="U29"/>
  <c r="T29"/>
  <c r="S29"/>
  <c r="R29"/>
  <c r="Q29"/>
  <c r="P29"/>
  <c r="O29"/>
  <c r="N29"/>
  <c r="M29"/>
  <c r="L29"/>
  <c r="K29"/>
  <c r="J29"/>
  <c r="I29"/>
  <c r="H29"/>
  <c r="AC28"/>
  <c r="AB28"/>
  <c r="AA28"/>
  <c r="Z28"/>
  <c r="Y28"/>
  <c r="X28"/>
  <c r="W28"/>
  <c r="V28"/>
  <c r="U28"/>
  <c r="T28"/>
  <c r="S28"/>
  <c r="R28"/>
  <c r="Q28"/>
  <c r="P28"/>
  <c r="O28"/>
  <c r="N28"/>
  <c r="M28"/>
  <c r="L28"/>
  <c r="K28"/>
  <c r="J28"/>
  <c r="I28"/>
  <c r="H28"/>
  <c r="F30"/>
  <c r="F29"/>
  <c r="F28"/>
  <c r="Z25" i="41"/>
  <c r="Y25"/>
  <c r="X25"/>
  <c r="W25"/>
  <c r="V25"/>
  <c r="U25"/>
  <c r="T25"/>
  <c r="S25"/>
  <c r="R25"/>
  <c r="Q25"/>
  <c r="P25"/>
  <c r="O25"/>
  <c r="N25"/>
  <c r="M25"/>
  <c r="L25"/>
  <c r="K25"/>
  <c r="J25"/>
  <c r="I25"/>
  <c r="H25"/>
  <c r="G25"/>
  <c r="F25"/>
  <c r="E25"/>
  <c r="Z20"/>
  <c r="Y20"/>
  <c r="X20"/>
  <c r="W20"/>
  <c r="V20"/>
  <c r="U20"/>
  <c r="T20"/>
  <c r="S20"/>
  <c r="R20"/>
  <c r="Q20"/>
  <c r="P20"/>
  <c r="O20"/>
  <c r="N20"/>
  <c r="M20"/>
  <c r="L20"/>
  <c r="K20"/>
  <c r="J20"/>
  <c r="I20"/>
  <c r="H20"/>
  <c r="G20"/>
  <c r="F20"/>
  <c r="E20"/>
  <c r="F164" i="47" l="1"/>
  <c r="Z17" i="41"/>
  <c r="Y17"/>
  <c r="X17"/>
  <c r="W17"/>
  <c r="V17"/>
  <c r="U17"/>
  <c r="T17"/>
  <c r="S17"/>
  <c r="R17"/>
  <c r="Q17"/>
  <c r="P17"/>
  <c r="O17"/>
  <c r="N17"/>
  <c r="M17"/>
  <c r="L17"/>
  <c r="K17"/>
  <c r="J17"/>
  <c r="I17"/>
  <c r="H17"/>
  <c r="G17"/>
  <c r="F17"/>
  <c r="E17"/>
  <c r="AC198" i="47"/>
  <c r="AB198"/>
  <c r="AA198"/>
  <c r="Z198"/>
  <c r="Y198"/>
  <c r="X198"/>
  <c r="W198"/>
  <c r="V198"/>
  <c r="U198"/>
  <c r="T198"/>
  <c r="S198"/>
  <c r="R198"/>
  <c r="Q198"/>
  <c r="P198"/>
  <c r="O198"/>
  <c r="N198"/>
  <c r="M198"/>
  <c r="L198"/>
  <c r="K198"/>
  <c r="J198"/>
  <c r="I198"/>
  <c r="H198"/>
  <c r="G198"/>
  <c r="F198"/>
  <c r="AC197"/>
  <c r="AB197"/>
  <c r="AA197"/>
  <c r="Z197"/>
  <c r="Y197"/>
  <c r="X197"/>
  <c r="W197"/>
  <c r="V197"/>
  <c r="U197"/>
  <c r="T197"/>
  <c r="S197"/>
  <c r="R197"/>
  <c r="Q197"/>
  <c r="P197"/>
  <c r="O197"/>
  <c r="N197"/>
  <c r="M197"/>
  <c r="L197"/>
  <c r="K197"/>
  <c r="J197"/>
  <c r="I197"/>
  <c r="H197"/>
  <c r="G197"/>
  <c r="F197"/>
  <c r="AC199" i="46"/>
  <c r="AB199"/>
  <c r="AA199"/>
  <c r="Z199"/>
  <c r="Y199"/>
  <c r="X199"/>
  <c r="W199"/>
  <c r="V199"/>
  <c r="U199"/>
  <c r="T199"/>
  <c r="S199"/>
  <c r="R199"/>
  <c r="Q199"/>
  <c r="P199"/>
  <c r="O199"/>
  <c r="N199"/>
  <c r="M199"/>
  <c r="L199"/>
  <c r="K199"/>
  <c r="J199"/>
  <c r="I199"/>
  <c r="H199"/>
  <c r="G199"/>
  <c r="F199"/>
  <c r="AC198"/>
  <c r="AB198"/>
  <c r="AA198"/>
  <c r="Z198"/>
  <c r="Y198"/>
  <c r="X198"/>
  <c r="W198"/>
  <c r="V198"/>
  <c r="U198"/>
  <c r="T198"/>
  <c r="S198"/>
  <c r="R198"/>
  <c r="Q198"/>
  <c r="P198"/>
  <c r="O198"/>
  <c r="N198"/>
  <c r="M198"/>
  <c r="L198"/>
  <c r="K198"/>
  <c r="J198"/>
  <c r="I198"/>
  <c r="H198"/>
  <c r="G198"/>
  <c r="F198"/>
  <c r="AC202" i="45"/>
  <c r="AB202"/>
  <c r="AA202"/>
  <c r="Z202"/>
  <c r="Y202"/>
  <c r="X202"/>
  <c r="W202"/>
  <c r="V202"/>
  <c r="U202"/>
  <c r="T202"/>
  <c r="S202"/>
  <c r="R202"/>
  <c r="Q202"/>
  <c r="P202"/>
  <c r="O202"/>
  <c r="N202"/>
  <c r="M202"/>
  <c r="L202"/>
  <c r="K202"/>
  <c r="J202"/>
  <c r="I202"/>
  <c r="H202"/>
  <c r="G202"/>
  <c r="F202"/>
  <c r="AC201"/>
  <c r="AB201"/>
  <c r="AA201"/>
  <c r="Z201"/>
  <c r="Y201"/>
  <c r="X201"/>
  <c r="W201"/>
  <c r="V201"/>
  <c r="U201"/>
  <c r="T201"/>
  <c r="S201"/>
  <c r="R201"/>
  <c r="Q201"/>
  <c r="P201"/>
  <c r="O201"/>
  <c r="N201"/>
  <c r="M201"/>
  <c r="L201"/>
  <c r="K201"/>
  <c r="J201"/>
  <c r="I201"/>
  <c r="H201"/>
  <c r="G201"/>
  <c r="F201"/>
  <c r="AC196" i="44"/>
  <c r="AB196"/>
  <c r="AA196"/>
  <c r="Z196"/>
  <c r="Y196"/>
  <c r="X196"/>
  <c r="W196"/>
  <c r="V196"/>
  <c r="U196"/>
  <c r="T196"/>
  <c r="S196"/>
  <c r="R196"/>
  <c r="Q196"/>
  <c r="P196"/>
  <c r="O196"/>
  <c r="N196"/>
  <c r="M196"/>
  <c r="L196"/>
  <c r="K196"/>
  <c r="AC195"/>
  <c r="AB195"/>
  <c r="AA195"/>
  <c r="Z195"/>
  <c r="Y195"/>
  <c r="X195"/>
  <c r="W195"/>
  <c r="V195"/>
  <c r="U195"/>
  <c r="T195"/>
  <c r="S195"/>
  <c r="R195"/>
  <c r="Q195"/>
  <c r="P195"/>
  <c r="O195"/>
  <c r="N195"/>
  <c r="M195"/>
  <c r="L195"/>
  <c r="K195"/>
  <c r="J195"/>
  <c r="I195"/>
  <c r="H195"/>
  <c r="G195"/>
  <c r="AC194"/>
  <c r="AB194"/>
  <c r="AA194"/>
  <c r="Z194"/>
  <c r="Y194"/>
  <c r="X194"/>
  <c r="W194"/>
  <c r="V194"/>
  <c r="U194"/>
  <c r="T194"/>
  <c r="S194"/>
  <c r="R194"/>
  <c r="Q194"/>
  <c r="P194"/>
  <c r="O194"/>
  <c r="N194"/>
  <c r="M194"/>
  <c r="L194"/>
  <c r="K194"/>
  <c r="J194"/>
  <c r="I194"/>
  <c r="H194"/>
  <c r="G194"/>
  <c r="F195"/>
  <c r="F194"/>
  <c r="D37" i="9"/>
  <c r="E37" s="1"/>
  <c r="F37" s="1"/>
  <c r="G37" s="1"/>
  <c r="H37" s="1"/>
  <c r="I37" s="1"/>
  <c r="J37" s="1"/>
  <c r="K37" s="1"/>
  <c r="L37" s="1"/>
  <c r="M37" s="1"/>
  <c r="N37" s="1"/>
  <c r="O37" s="1"/>
  <c r="P37" s="1"/>
  <c r="Q37" s="1"/>
  <c r="R37" s="1"/>
  <c r="S37" s="1"/>
  <c r="T37" s="1"/>
  <c r="U37" s="1"/>
  <c r="V37" s="1"/>
  <c r="W37" s="1"/>
  <c r="X37" s="1"/>
  <c r="Y37" s="1"/>
  <c r="Z37" s="1"/>
  <c r="AA37" s="1"/>
  <c r="AC263" i="35"/>
  <c r="AB263"/>
  <c r="AA263"/>
  <c r="Z263"/>
  <c r="Y263"/>
  <c r="X263"/>
  <c r="W263"/>
  <c r="V263"/>
  <c r="U263"/>
  <c r="T263"/>
  <c r="S263"/>
  <c r="R263"/>
  <c r="Q263"/>
  <c r="P263"/>
  <c r="O263"/>
  <c r="N263"/>
  <c r="M263"/>
  <c r="L263"/>
  <c r="K263"/>
  <c r="J263"/>
  <c r="AC262"/>
  <c r="AB262"/>
  <c r="AA262"/>
  <c r="Z262"/>
  <c r="Y262"/>
  <c r="X262"/>
  <c r="W262"/>
  <c r="V262"/>
  <c r="U262"/>
  <c r="T262"/>
  <c r="S262"/>
  <c r="R262"/>
  <c r="Q262"/>
  <c r="P262"/>
  <c r="O262"/>
  <c r="N262"/>
  <c r="M262"/>
  <c r="L262"/>
  <c r="K262"/>
  <c r="J262"/>
  <c r="I262"/>
  <c r="H262"/>
  <c r="G262"/>
  <c r="AC261"/>
  <c r="AB261"/>
  <c r="AA261"/>
  <c r="Z261"/>
  <c r="Y261"/>
  <c r="X261"/>
  <c r="W261"/>
  <c r="V261"/>
  <c r="U261"/>
  <c r="T261"/>
  <c r="S261"/>
  <c r="R261"/>
  <c r="Q261"/>
  <c r="P261"/>
  <c r="O261"/>
  <c r="N261"/>
  <c r="M261"/>
  <c r="L261"/>
  <c r="K261"/>
  <c r="J261"/>
  <c r="I261"/>
  <c r="H261"/>
  <c r="G261"/>
  <c r="F262"/>
  <c r="F261"/>
  <c r="D120" i="34"/>
  <c r="D106"/>
  <c r="D104"/>
  <c r="AC141"/>
  <c r="AB141"/>
  <c r="AA141"/>
  <c r="Z141"/>
  <c r="Y141"/>
  <c r="X141"/>
  <c r="W141"/>
  <c r="V141"/>
  <c r="U141"/>
  <c r="T141"/>
  <c r="S141"/>
  <c r="R141"/>
  <c r="Q141"/>
  <c r="P141"/>
  <c r="O141"/>
  <c r="N141"/>
  <c r="M141"/>
  <c r="L141"/>
  <c r="K141"/>
  <c r="J141"/>
  <c r="I141"/>
  <c r="H141"/>
  <c r="G141"/>
  <c r="AC140"/>
  <c r="AB140"/>
  <c r="AA140"/>
  <c r="Z140"/>
  <c r="Y140"/>
  <c r="X140"/>
  <c r="W140"/>
  <c r="V140"/>
  <c r="U140"/>
  <c r="T140"/>
  <c r="S140"/>
  <c r="R140"/>
  <c r="Q140"/>
  <c r="P140"/>
  <c r="O140"/>
  <c r="N140"/>
  <c r="M140"/>
  <c r="L140"/>
  <c r="K140"/>
  <c r="J140"/>
  <c r="I140"/>
  <c r="H140"/>
  <c r="G140"/>
  <c r="AC139"/>
  <c r="AB139"/>
  <c r="AA139"/>
  <c r="Z139"/>
  <c r="Y139"/>
  <c r="X139"/>
  <c r="W139"/>
  <c r="V139"/>
  <c r="U139"/>
  <c r="T139"/>
  <c r="S139"/>
  <c r="R139"/>
  <c r="Q139"/>
  <c r="P139"/>
  <c r="O139"/>
  <c r="N139"/>
  <c r="M139"/>
  <c r="L139"/>
  <c r="K139"/>
  <c r="J139"/>
  <c r="I139"/>
  <c r="H139"/>
  <c r="G139"/>
  <c r="AC147"/>
  <c r="F141"/>
  <c r="F140"/>
  <c r="F139"/>
  <c r="AC312" i="29" l="1"/>
  <c r="AB312"/>
  <c r="AA312"/>
  <c r="Z312"/>
  <c r="Y312"/>
  <c r="X312"/>
  <c r="W312"/>
  <c r="V312"/>
  <c r="U312"/>
  <c r="T312"/>
  <c r="S312"/>
  <c r="R312"/>
  <c r="Q312"/>
  <c r="P312"/>
  <c r="O312"/>
  <c r="N312"/>
  <c r="M312"/>
  <c r="L312"/>
  <c r="K312"/>
  <c r="AC311"/>
  <c r="AB311"/>
  <c r="AA311"/>
  <c r="Z311"/>
  <c r="Y311"/>
  <c r="X311"/>
  <c r="W311"/>
  <c r="V311"/>
  <c r="U311"/>
  <c r="T311"/>
  <c r="S311"/>
  <c r="R311"/>
  <c r="Q311"/>
  <c r="P311"/>
  <c r="O311"/>
  <c r="N311"/>
  <c r="M311"/>
  <c r="L311"/>
  <c r="K311"/>
  <c r="J311"/>
  <c r="I311"/>
  <c r="H311"/>
  <c r="G311"/>
  <c r="AC310"/>
  <c r="AB310"/>
  <c r="AA310"/>
  <c r="Z310"/>
  <c r="Y310"/>
  <c r="X310"/>
  <c r="W310"/>
  <c r="V310"/>
  <c r="U310"/>
  <c r="T310"/>
  <c r="S310"/>
  <c r="R310"/>
  <c r="Q310"/>
  <c r="P310"/>
  <c r="O310"/>
  <c r="N310"/>
  <c r="M310"/>
  <c r="L310"/>
  <c r="K310"/>
  <c r="J310"/>
  <c r="I310"/>
  <c r="H310"/>
  <c r="G310"/>
  <c r="F311"/>
  <c r="F310"/>
  <c r="AC17" i="45" l="1"/>
  <c r="AB17"/>
  <c r="AA17"/>
  <c r="Z17"/>
  <c r="Y17"/>
  <c r="X17"/>
  <c r="W17"/>
  <c r="V17"/>
  <c r="U17"/>
  <c r="T17"/>
  <c r="S17"/>
  <c r="R17"/>
  <c r="Q17"/>
  <c r="P17"/>
  <c r="O17"/>
  <c r="N17"/>
  <c r="M17"/>
  <c r="L17"/>
  <c r="K17"/>
  <c r="J17"/>
  <c r="I17"/>
  <c r="H17"/>
  <c r="G17"/>
  <c r="AC16"/>
  <c r="AB16"/>
  <c r="AA16"/>
  <c r="Z16"/>
  <c r="Y16"/>
  <c r="X16"/>
  <c r="W16"/>
  <c r="V16"/>
  <c r="U16"/>
  <c r="T16"/>
  <c r="S16"/>
  <c r="R16"/>
  <c r="Q16"/>
  <c r="P16"/>
  <c r="O16"/>
  <c r="N16"/>
  <c r="M16"/>
  <c r="L16"/>
  <c r="K16"/>
  <c r="J16"/>
  <c r="I16"/>
  <c r="H16"/>
  <c r="G16"/>
  <c r="AC15"/>
  <c r="AB15"/>
  <c r="AA15"/>
  <c r="Z15"/>
  <c r="Y15"/>
  <c r="X15"/>
  <c r="W15"/>
  <c r="V15"/>
  <c r="U15"/>
  <c r="T15"/>
  <c r="S15"/>
  <c r="R15"/>
  <c r="Q15"/>
  <c r="P15"/>
  <c r="O15"/>
  <c r="N15"/>
  <c r="M15"/>
  <c r="L15"/>
  <c r="K15"/>
  <c r="J15"/>
  <c r="I15"/>
  <c r="H15"/>
  <c r="G15"/>
  <c r="F17"/>
  <c r="F16"/>
  <c r="F15"/>
  <c r="D7" i="43" l="1"/>
  <c r="D6"/>
  <c r="G12" i="47" l="1"/>
  <c r="F12"/>
  <c r="F97" s="1"/>
  <c r="G11"/>
  <c r="F11"/>
  <c r="F47" s="1"/>
  <c r="F10"/>
  <c r="AC12" i="46"/>
  <c r="AC97" s="1"/>
  <c r="AB12"/>
  <c r="AA12"/>
  <c r="Z12"/>
  <c r="Y12"/>
  <c r="Y97" s="1"/>
  <c r="X12"/>
  <c r="W12"/>
  <c r="V12"/>
  <c r="U12"/>
  <c r="U97" s="1"/>
  <c r="T12"/>
  <c r="S12"/>
  <c r="R12"/>
  <c r="Q12"/>
  <c r="Q97" s="1"/>
  <c r="P12"/>
  <c r="O12"/>
  <c r="N12"/>
  <c r="M12"/>
  <c r="M97" s="1"/>
  <c r="L12"/>
  <c r="K12"/>
  <c r="J12"/>
  <c r="I12"/>
  <c r="I97" s="1"/>
  <c r="H12"/>
  <c r="G12"/>
  <c r="F12"/>
  <c r="AC11"/>
  <c r="AC47" s="1"/>
  <c r="AB11"/>
  <c r="AA11"/>
  <c r="AA47" s="1"/>
  <c r="Z11"/>
  <c r="Y11"/>
  <c r="Y47" s="1"/>
  <c r="X11"/>
  <c r="W11"/>
  <c r="V11"/>
  <c r="U11"/>
  <c r="T11"/>
  <c r="S11"/>
  <c r="S47" s="1"/>
  <c r="R11"/>
  <c r="Q11"/>
  <c r="Q47" s="1"/>
  <c r="P11"/>
  <c r="O11"/>
  <c r="O47" s="1"/>
  <c r="N11"/>
  <c r="M11"/>
  <c r="M47" s="1"/>
  <c r="L11"/>
  <c r="K11"/>
  <c r="K47" s="1"/>
  <c r="J11"/>
  <c r="I11"/>
  <c r="I47" s="1"/>
  <c r="H11"/>
  <c r="G11"/>
  <c r="G47" s="1"/>
  <c r="F11"/>
  <c r="AC10"/>
  <c r="AC45" s="1"/>
  <c r="AB10"/>
  <c r="AA10"/>
  <c r="AA45" s="1"/>
  <c r="Z10"/>
  <c r="Z45" s="1"/>
  <c r="Y10"/>
  <c r="Y45" s="1"/>
  <c r="X10"/>
  <c r="W10"/>
  <c r="W45" s="1"/>
  <c r="V10"/>
  <c r="U10"/>
  <c r="U45" s="1"/>
  <c r="T10"/>
  <c r="S10"/>
  <c r="S45" s="1"/>
  <c r="R10"/>
  <c r="Q10"/>
  <c r="Q45" s="1"/>
  <c r="P10"/>
  <c r="O10"/>
  <c r="O45" s="1"/>
  <c r="N10"/>
  <c r="M10"/>
  <c r="M45" s="1"/>
  <c r="L10"/>
  <c r="K10"/>
  <c r="K45" s="1"/>
  <c r="J10"/>
  <c r="I10"/>
  <c r="H10"/>
  <c r="G10"/>
  <c r="F10"/>
  <c r="AC12" i="45"/>
  <c r="AC97" s="1"/>
  <c r="AB12"/>
  <c r="AA12"/>
  <c r="AA97" s="1"/>
  <c r="Z12"/>
  <c r="Y12"/>
  <c r="Y97" s="1"/>
  <c r="X12"/>
  <c r="W12"/>
  <c r="W97" s="1"/>
  <c r="V12"/>
  <c r="U12"/>
  <c r="U97" s="1"/>
  <c r="T12"/>
  <c r="S12"/>
  <c r="S97" s="1"/>
  <c r="R12"/>
  <c r="Q12"/>
  <c r="P12"/>
  <c r="O12"/>
  <c r="O97" s="1"/>
  <c r="N12"/>
  <c r="M12"/>
  <c r="M97" s="1"/>
  <c r="L12"/>
  <c r="K12"/>
  <c r="K97" s="1"/>
  <c r="J12"/>
  <c r="I12"/>
  <c r="I97" s="1"/>
  <c r="H12"/>
  <c r="G12"/>
  <c r="G97" s="1"/>
  <c r="F12"/>
  <c r="AC11"/>
  <c r="AC47" s="1"/>
  <c r="AB11"/>
  <c r="AA11"/>
  <c r="AA47" s="1"/>
  <c r="Z11"/>
  <c r="Y11"/>
  <c r="X11"/>
  <c r="W11"/>
  <c r="W47" s="1"/>
  <c r="V11"/>
  <c r="U11"/>
  <c r="U47" s="1"/>
  <c r="T11"/>
  <c r="S11"/>
  <c r="S47" s="1"/>
  <c r="R11"/>
  <c r="Q11"/>
  <c r="Q47" s="1"/>
  <c r="P11"/>
  <c r="O11"/>
  <c r="O47" s="1"/>
  <c r="N11"/>
  <c r="M11"/>
  <c r="M47" s="1"/>
  <c r="L11"/>
  <c r="K11"/>
  <c r="K47" s="1"/>
  <c r="J11"/>
  <c r="I11"/>
  <c r="H11"/>
  <c r="G11"/>
  <c r="G47" s="1"/>
  <c r="F11"/>
  <c r="AC10"/>
  <c r="AC45" s="1"/>
  <c r="AB10"/>
  <c r="AA10"/>
  <c r="AA45" s="1"/>
  <c r="Z10"/>
  <c r="Y10"/>
  <c r="Y45" s="1"/>
  <c r="X10"/>
  <c r="W10"/>
  <c r="W45" s="1"/>
  <c r="V10"/>
  <c r="U10"/>
  <c r="U45" s="1"/>
  <c r="T10"/>
  <c r="S10"/>
  <c r="S45" s="1"/>
  <c r="R10"/>
  <c r="Q10"/>
  <c r="P10"/>
  <c r="O10"/>
  <c r="O45" s="1"/>
  <c r="N10"/>
  <c r="M10"/>
  <c r="M45" s="1"/>
  <c r="L10"/>
  <c r="K10"/>
  <c r="K45" s="1"/>
  <c r="J10"/>
  <c r="I10"/>
  <c r="H10"/>
  <c r="G10"/>
  <c r="F10"/>
  <c r="F10" i="44"/>
  <c r="AD191" i="47"/>
  <c r="F189"/>
  <c r="F187"/>
  <c r="AF186"/>
  <c r="AG186" s="1"/>
  <c r="AH186" s="1"/>
  <c r="AI186" s="1"/>
  <c r="AJ186" s="1"/>
  <c r="AK186" s="1"/>
  <c r="AL186" s="1"/>
  <c r="AM186" s="1"/>
  <c r="AN186" s="1"/>
  <c r="AO186" s="1"/>
  <c r="AP186" s="1"/>
  <c r="AQ186" s="1"/>
  <c r="AR186" s="1"/>
  <c r="AS186" s="1"/>
  <c r="AT186" s="1"/>
  <c r="AU186" s="1"/>
  <c r="AV186" s="1"/>
  <c r="AW186" s="1"/>
  <c r="AX186" s="1"/>
  <c r="AD185"/>
  <c r="AD184"/>
  <c r="AD182"/>
  <c r="D181"/>
  <c r="D180"/>
  <c r="D178"/>
  <c r="D176"/>
  <c r="AD175"/>
  <c r="AD174"/>
  <c r="AD169"/>
  <c r="D166"/>
  <c r="AD163"/>
  <c r="AD162"/>
  <c r="D154"/>
  <c r="D160" s="1"/>
  <c r="D153"/>
  <c r="D159" s="1"/>
  <c r="D152"/>
  <c r="D158" s="1"/>
  <c r="D151"/>
  <c r="D157" s="1"/>
  <c r="AD150"/>
  <c r="AD149"/>
  <c r="AD148"/>
  <c r="AD147"/>
  <c r="AD146"/>
  <c r="AD144"/>
  <c r="AD143"/>
  <c r="D143"/>
  <c r="AD142"/>
  <c r="AD141"/>
  <c r="AD135"/>
  <c r="AD130"/>
  <c r="AD129"/>
  <c r="AD128"/>
  <c r="AD127"/>
  <c r="AD126"/>
  <c r="AD123"/>
  <c r="AD121"/>
  <c r="AD119"/>
  <c r="AD118"/>
  <c r="AD117"/>
  <c r="AD115"/>
  <c r="AD114"/>
  <c r="AD112"/>
  <c r="AD111"/>
  <c r="AD110"/>
  <c r="AD108"/>
  <c r="AD107"/>
  <c r="AD102"/>
  <c r="AD101"/>
  <c r="AD96"/>
  <c r="AD95"/>
  <c r="AD94"/>
  <c r="AD93"/>
  <c r="AD92"/>
  <c r="AD89"/>
  <c r="AD88"/>
  <c r="AD87"/>
  <c r="AD86"/>
  <c r="AD85"/>
  <c r="AD81"/>
  <c r="D81"/>
  <c r="AD80"/>
  <c r="D80"/>
  <c r="AD79"/>
  <c r="D79"/>
  <c r="AD78"/>
  <c r="D78"/>
  <c r="AD77"/>
  <c r="AD75"/>
  <c r="AD73"/>
  <c r="AD72"/>
  <c r="AD70"/>
  <c r="D70"/>
  <c r="AD69"/>
  <c r="AD68"/>
  <c r="AD67"/>
  <c r="AD66"/>
  <c r="AD65"/>
  <c r="AD62"/>
  <c r="AD61"/>
  <c r="D61"/>
  <c r="D88" s="1"/>
  <c r="AD60"/>
  <c r="D60"/>
  <c r="D87" s="1"/>
  <c r="AD59"/>
  <c r="AD58"/>
  <c r="AD54"/>
  <c r="D54"/>
  <c r="AD53"/>
  <c r="AD52"/>
  <c r="AD51"/>
  <c r="D51"/>
  <c r="AD50"/>
  <c r="D50"/>
  <c r="AC49"/>
  <c r="AB49"/>
  <c r="AA49"/>
  <c r="Z49"/>
  <c r="Z76" s="1"/>
  <c r="Y49"/>
  <c r="Y76" s="1"/>
  <c r="X49"/>
  <c r="W49"/>
  <c r="V49"/>
  <c r="V76" s="1"/>
  <c r="U49"/>
  <c r="U76" s="1"/>
  <c r="T49"/>
  <c r="S49"/>
  <c r="R49"/>
  <c r="Q49"/>
  <c r="Q76" s="1"/>
  <c r="P49"/>
  <c r="O49"/>
  <c r="N49"/>
  <c r="M49"/>
  <c r="L49"/>
  <c r="K49"/>
  <c r="J49"/>
  <c r="J76" s="1"/>
  <c r="I49"/>
  <c r="I76" s="1"/>
  <c r="H49"/>
  <c r="G49"/>
  <c r="F49"/>
  <c r="F76" s="1"/>
  <c r="AD48"/>
  <c r="AD46"/>
  <c r="AD44"/>
  <c r="AD43"/>
  <c r="AD42"/>
  <c r="AD41"/>
  <c r="AD40"/>
  <c r="AD39"/>
  <c r="AD38"/>
  <c r="AD37"/>
  <c r="AD36"/>
  <c r="AD35"/>
  <c r="AD34"/>
  <c r="AD33"/>
  <c r="AD32"/>
  <c r="AD31"/>
  <c r="F116"/>
  <c r="AD27"/>
  <c r="AD26"/>
  <c r="AD25"/>
  <c r="AD19"/>
  <c r="AD18"/>
  <c r="F103"/>
  <c r="AD14"/>
  <c r="AD13"/>
  <c r="G97"/>
  <c r="G47"/>
  <c r="AD9"/>
  <c r="AD8"/>
  <c r="AD7"/>
  <c r="AD191" i="46"/>
  <c r="F189"/>
  <c r="F187"/>
  <c r="AF186"/>
  <c r="AG186" s="1"/>
  <c r="AH186" s="1"/>
  <c r="AI186" s="1"/>
  <c r="AJ186" s="1"/>
  <c r="AK186" s="1"/>
  <c r="AL186" s="1"/>
  <c r="AM186" s="1"/>
  <c r="AN186" s="1"/>
  <c r="AO186" s="1"/>
  <c r="AP186" s="1"/>
  <c r="AQ186" s="1"/>
  <c r="AR186" s="1"/>
  <c r="AS186" s="1"/>
  <c r="AT186" s="1"/>
  <c r="AU186" s="1"/>
  <c r="AV186" s="1"/>
  <c r="AW186" s="1"/>
  <c r="AX186" s="1"/>
  <c r="AD185"/>
  <c r="AD184"/>
  <c r="AD183"/>
  <c r="AD181"/>
  <c r="D180"/>
  <c r="D179"/>
  <c r="D177"/>
  <c r="D175"/>
  <c r="AD174"/>
  <c r="AD173"/>
  <c r="AD168"/>
  <c r="D165"/>
  <c r="D171" s="1"/>
  <c r="D163"/>
  <c r="D169" s="1"/>
  <c r="AD162"/>
  <c r="AD161"/>
  <c r="D153"/>
  <c r="D159" s="1"/>
  <c r="D152"/>
  <c r="D158" s="1"/>
  <c r="D151"/>
  <c r="D150"/>
  <c r="D156" s="1"/>
  <c r="AD149"/>
  <c r="AD148"/>
  <c r="AD147"/>
  <c r="AD146"/>
  <c r="AD145"/>
  <c r="AD143"/>
  <c r="AD142"/>
  <c r="D142"/>
  <c r="AD141"/>
  <c r="AD140"/>
  <c r="AD134"/>
  <c r="AD129"/>
  <c r="AD128"/>
  <c r="AD127"/>
  <c r="AD126"/>
  <c r="AD125"/>
  <c r="AD122"/>
  <c r="AD120"/>
  <c r="AD118"/>
  <c r="AD117"/>
  <c r="AD116"/>
  <c r="AD114"/>
  <c r="AD113"/>
  <c r="AD111"/>
  <c r="AD110"/>
  <c r="AD109"/>
  <c r="AD107"/>
  <c r="AD102"/>
  <c r="AD101"/>
  <c r="AD96"/>
  <c r="AD95"/>
  <c r="AD94"/>
  <c r="AD93"/>
  <c r="AD92"/>
  <c r="AD89"/>
  <c r="AD88"/>
  <c r="AD87"/>
  <c r="AD86"/>
  <c r="AD85"/>
  <c r="AD81"/>
  <c r="D81"/>
  <c r="AD80"/>
  <c r="D80"/>
  <c r="AD79"/>
  <c r="D79"/>
  <c r="AD78"/>
  <c r="D78"/>
  <c r="AD77"/>
  <c r="AD75"/>
  <c r="AD73"/>
  <c r="AD72"/>
  <c r="AD70"/>
  <c r="D70"/>
  <c r="AD69"/>
  <c r="AD68"/>
  <c r="AD67"/>
  <c r="AD66"/>
  <c r="AD65"/>
  <c r="AD62"/>
  <c r="AD61"/>
  <c r="D61"/>
  <c r="AD60"/>
  <c r="D60"/>
  <c r="D87" s="1"/>
  <c r="AD59"/>
  <c r="AD58"/>
  <c r="AD54"/>
  <c r="D54"/>
  <c r="AD53"/>
  <c r="AD52"/>
  <c r="AD51"/>
  <c r="D51"/>
  <c r="AD50"/>
  <c r="D50"/>
  <c r="D77" s="1"/>
  <c r="AC49"/>
  <c r="AC76" s="1"/>
  <c r="AB49"/>
  <c r="AA49"/>
  <c r="Z49"/>
  <c r="Y49"/>
  <c r="X49"/>
  <c r="W49"/>
  <c r="V49"/>
  <c r="U49"/>
  <c r="T49"/>
  <c r="S49"/>
  <c r="R49"/>
  <c r="Q49"/>
  <c r="P49"/>
  <c r="P76" s="1"/>
  <c r="O49"/>
  <c r="N49"/>
  <c r="M49"/>
  <c r="M76" s="1"/>
  <c r="L49"/>
  <c r="L76" s="1"/>
  <c r="K49"/>
  <c r="J49"/>
  <c r="I49"/>
  <c r="H49"/>
  <c r="G49"/>
  <c r="F49"/>
  <c r="AD48"/>
  <c r="AD46"/>
  <c r="AD44"/>
  <c r="AD43"/>
  <c r="AD42"/>
  <c r="AD41"/>
  <c r="AD40"/>
  <c r="AD39"/>
  <c r="AD38"/>
  <c r="AD37"/>
  <c r="AD36"/>
  <c r="AD35"/>
  <c r="AD34"/>
  <c r="AD33"/>
  <c r="AD32"/>
  <c r="AD31"/>
  <c r="G115"/>
  <c r="F115"/>
  <c r="AD29"/>
  <c r="AD28"/>
  <c r="AD27"/>
  <c r="AD26"/>
  <c r="AD25"/>
  <c r="AD19"/>
  <c r="AD18"/>
  <c r="AC103"/>
  <c r="AB103"/>
  <c r="AA103"/>
  <c r="Z103"/>
  <c r="Y103"/>
  <c r="X103"/>
  <c r="W103"/>
  <c r="V103"/>
  <c r="U103"/>
  <c r="T103"/>
  <c r="S103"/>
  <c r="R103"/>
  <c r="Q103"/>
  <c r="P103"/>
  <c r="O103"/>
  <c r="N103"/>
  <c r="M103"/>
  <c r="L103"/>
  <c r="K103"/>
  <c r="J103"/>
  <c r="I103"/>
  <c r="H103"/>
  <c r="G103"/>
  <c r="AB74"/>
  <c r="AA74"/>
  <c r="Z74"/>
  <c r="X74"/>
  <c r="W74"/>
  <c r="V74"/>
  <c r="U74"/>
  <c r="T74"/>
  <c r="S74"/>
  <c r="R74"/>
  <c r="P74"/>
  <c r="N74"/>
  <c r="L74"/>
  <c r="K74"/>
  <c r="J74"/>
  <c r="H74"/>
  <c r="G74"/>
  <c r="F74"/>
  <c r="AD14"/>
  <c r="AD13"/>
  <c r="AB97"/>
  <c r="AA97"/>
  <c r="Z97"/>
  <c r="X97"/>
  <c r="W97"/>
  <c r="V97"/>
  <c r="T97"/>
  <c r="S97"/>
  <c r="R97"/>
  <c r="P97"/>
  <c r="O97"/>
  <c r="N97"/>
  <c r="L97"/>
  <c r="K97"/>
  <c r="J97"/>
  <c r="H97"/>
  <c r="G97"/>
  <c r="F97"/>
  <c r="W47"/>
  <c r="U47"/>
  <c r="AB45"/>
  <c r="X45"/>
  <c r="V45"/>
  <c r="T45"/>
  <c r="R45"/>
  <c r="P45"/>
  <c r="N45"/>
  <c r="L45"/>
  <c r="AD9"/>
  <c r="AD8"/>
  <c r="AD7"/>
  <c r="AD191" i="45"/>
  <c r="G189"/>
  <c r="F189"/>
  <c r="F187"/>
  <c r="AF186"/>
  <c r="AG186" s="1"/>
  <c r="AH186" s="1"/>
  <c r="AI186" s="1"/>
  <c r="AJ186" s="1"/>
  <c r="AK186" s="1"/>
  <c r="AL186" s="1"/>
  <c r="AM186" s="1"/>
  <c r="AN186" s="1"/>
  <c r="AO186" s="1"/>
  <c r="AP186" s="1"/>
  <c r="AQ186" s="1"/>
  <c r="AR186" s="1"/>
  <c r="AS186" s="1"/>
  <c r="AT186" s="1"/>
  <c r="AU186" s="1"/>
  <c r="AV186" s="1"/>
  <c r="AW186" s="1"/>
  <c r="AX186" s="1"/>
  <c r="AD185"/>
  <c r="AD184"/>
  <c r="AD183"/>
  <c r="AD181"/>
  <c r="D180"/>
  <c r="D179"/>
  <c r="D177"/>
  <c r="D175"/>
  <c r="AD174"/>
  <c r="AD173"/>
  <c r="AD168"/>
  <c r="D165"/>
  <c r="D171" s="1"/>
  <c r="D163"/>
  <c r="D169" s="1"/>
  <c r="AD162"/>
  <c r="AD161"/>
  <c r="D153"/>
  <c r="D159" s="1"/>
  <c r="D152"/>
  <c r="D158" s="1"/>
  <c r="D151"/>
  <c r="D150"/>
  <c r="D156" s="1"/>
  <c r="AD149"/>
  <c r="AD148"/>
  <c r="AD147"/>
  <c r="AD146"/>
  <c r="AD145"/>
  <c r="AD143"/>
  <c r="AD142"/>
  <c r="D142"/>
  <c r="AD141"/>
  <c r="AD140"/>
  <c r="AD134"/>
  <c r="AD129"/>
  <c r="AD128"/>
  <c r="AD127"/>
  <c r="AD126"/>
  <c r="AD125"/>
  <c r="AD122"/>
  <c r="AD120"/>
  <c r="AD118"/>
  <c r="AD117"/>
  <c r="AD116"/>
  <c r="AD114"/>
  <c r="AD113"/>
  <c r="AD111"/>
  <c r="AD110"/>
  <c r="AD109"/>
  <c r="AD107"/>
  <c r="AD102"/>
  <c r="AD101"/>
  <c r="AD96"/>
  <c r="AD95"/>
  <c r="AD94"/>
  <c r="AD93"/>
  <c r="AD92"/>
  <c r="AD89"/>
  <c r="AD88"/>
  <c r="AD87"/>
  <c r="AD86"/>
  <c r="AD85"/>
  <c r="AD81"/>
  <c r="D81"/>
  <c r="AD80"/>
  <c r="D80"/>
  <c r="AD79"/>
  <c r="D79"/>
  <c r="AD78"/>
  <c r="D78"/>
  <c r="AD77"/>
  <c r="AD75"/>
  <c r="AD73"/>
  <c r="AD72"/>
  <c r="AD70"/>
  <c r="D70"/>
  <c r="AD69"/>
  <c r="AD68"/>
  <c r="AD67"/>
  <c r="AD66"/>
  <c r="AD65"/>
  <c r="AD62"/>
  <c r="AD61"/>
  <c r="D61"/>
  <c r="D88" s="1"/>
  <c r="AD60"/>
  <c r="D60"/>
  <c r="D87" s="1"/>
  <c r="AD59"/>
  <c r="AD58"/>
  <c r="AD54"/>
  <c r="D54"/>
  <c r="AD53"/>
  <c r="AD52"/>
  <c r="AD51"/>
  <c r="D51"/>
  <c r="AD50"/>
  <c r="D50"/>
  <c r="AC49"/>
  <c r="AB49"/>
  <c r="AA49"/>
  <c r="Z49"/>
  <c r="Y49"/>
  <c r="Y76" s="1"/>
  <c r="X49"/>
  <c r="W49"/>
  <c r="V49"/>
  <c r="U49"/>
  <c r="T49"/>
  <c r="S49"/>
  <c r="R49"/>
  <c r="Q49"/>
  <c r="P49"/>
  <c r="O49"/>
  <c r="N49"/>
  <c r="M49"/>
  <c r="M76" s="1"/>
  <c r="L49"/>
  <c r="K49"/>
  <c r="J49"/>
  <c r="I49"/>
  <c r="H49"/>
  <c r="G49"/>
  <c r="F49"/>
  <c r="AD48"/>
  <c r="AD46"/>
  <c r="AD44"/>
  <c r="AD43"/>
  <c r="AD42"/>
  <c r="AD41"/>
  <c r="AD40"/>
  <c r="AD39"/>
  <c r="AD38"/>
  <c r="AD37"/>
  <c r="AD36"/>
  <c r="AD35"/>
  <c r="AD34"/>
  <c r="AD33"/>
  <c r="AD32"/>
  <c r="AD31"/>
  <c r="AC115"/>
  <c r="AB115"/>
  <c r="AA115"/>
  <c r="Z115"/>
  <c r="Y115"/>
  <c r="X115"/>
  <c r="W115"/>
  <c r="V115"/>
  <c r="U115"/>
  <c r="T115"/>
  <c r="S115"/>
  <c r="R115"/>
  <c r="Q115"/>
  <c r="P115"/>
  <c r="O115"/>
  <c r="N115"/>
  <c r="M115"/>
  <c r="L115"/>
  <c r="K115"/>
  <c r="J115"/>
  <c r="I115"/>
  <c r="H115"/>
  <c r="G115"/>
  <c r="F115"/>
  <c r="AD27"/>
  <c r="AD26"/>
  <c r="AD25"/>
  <c r="AD21"/>
  <c r="AD20"/>
  <c r="AD19"/>
  <c r="AD18"/>
  <c r="AC103"/>
  <c r="AB103"/>
  <c r="AA103"/>
  <c r="Z103"/>
  <c r="Y103"/>
  <c r="X103"/>
  <c r="W103"/>
  <c r="V103"/>
  <c r="U103"/>
  <c r="T103"/>
  <c r="S103"/>
  <c r="R103"/>
  <c r="Q103"/>
  <c r="P103"/>
  <c r="O103"/>
  <c r="N103"/>
  <c r="M103"/>
  <c r="L103"/>
  <c r="K103"/>
  <c r="J103"/>
  <c r="I103"/>
  <c r="H103"/>
  <c r="G103"/>
  <c r="F103"/>
  <c r="AB74"/>
  <c r="AA74"/>
  <c r="Z74"/>
  <c r="X74"/>
  <c r="V74"/>
  <c r="U74"/>
  <c r="T74"/>
  <c r="Q74"/>
  <c r="P74"/>
  <c r="O74"/>
  <c r="L74"/>
  <c r="K74"/>
  <c r="J74"/>
  <c r="H74"/>
  <c r="F74"/>
  <c r="AD14"/>
  <c r="AD13"/>
  <c r="AB97"/>
  <c r="Z97"/>
  <c r="X97"/>
  <c r="V97"/>
  <c r="T97"/>
  <c r="R97"/>
  <c r="Q97"/>
  <c r="P97"/>
  <c r="N97"/>
  <c r="L97"/>
  <c r="J97"/>
  <c r="H97"/>
  <c r="F97"/>
  <c r="AB47"/>
  <c r="Z47"/>
  <c r="Y47"/>
  <c r="X47"/>
  <c r="V47"/>
  <c r="T47"/>
  <c r="R47"/>
  <c r="P47"/>
  <c r="N47"/>
  <c r="L47"/>
  <c r="J47"/>
  <c r="I47"/>
  <c r="H47"/>
  <c r="F47"/>
  <c r="AB45"/>
  <c r="Z45"/>
  <c r="X45"/>
  <c r="V45"/>
  <c r="T45"/>
  <c r="R45"/>
  <c r="Q45"/>
  <c r="P45"/>
  <c r="N45"/>
  <c r="L45"/>
  <c r="J45"/>
  <c r="AD9"/>
  <c r="AD8"/>
  <c r="AD7"/>
  <c r="AD185" i="44"/>
  <c r="F183"/>
  <c r="F181"/>
  <c r="AD179"/>
  <c r="AD178"/>
  <c r="AD177"/>
  <c r="AD175"/>
  <c r="D174"/>
  <c r="D173"/>
  <c r="D171"/>
  <c r="D169"/>
  <c r="AD168"/>
  <c r="AD167"/>
  <c r="AD162"/>
  <c r="D159"/>
  <c r="D165" s="1"/>
  <c r="D157"/>
  <c r="D163" s="1"/>
  <c r="AD156"/>
  <c r="AD154"/>
  <c r="D147"/>
  <c r="D153" s="1"/>
  <c r="D146"/>
  <c r="D152" s="1"/>
  <c r="D145"/>
  <c r="D144"/>
  <c r="D150" s="1"/>
  <c r="AD143"/>
  <c r="AD142"/>
  <c r="AD141"/>
  <c r="AD140"/>
  <c r="AD139"/>
  <c r="AD137"/>
  <c r="AD136"/>
  <c r="D136"/>
  <c r="AD135"/>
  <c r="AD134"/>
  <c r="AD128"/>
  <c r="AD123"/>
  <c r="AD122"/>
  <c r="AD121"/>
  <c r="AD120"/>
  <c r="AD119"/>
  <c r="AD116"/>
  <c r="AD114"/>
  <c r="AD112"/>
  <c r="AD111"/>
  <c r="AD110"/>
  <c r="AD108"/>
  <c r="AD107"/>
  <c r="AD105"/>
  <c r="AD104"/>
  <c r="AD103"/>
  <c r="AD101"/>
  <c r="AD96"/>
  <c r="AD95"/>
  <c r="AD90"/>
  <c r="AD89"/>
  <c r="AD88"/>
  <c r="AD87"/>
  <c r="AD86"/>
  <c r="AD83"/>
  <c r="AD82"/>
  <c r="AD81"/>
  <c r="AD80"/>
  <c r="AD79"/>
  <c r="AD75"/>
  <c r="D75"/>
  <c r="AD74"/>
  <c r="D74"/>
  <c r="AD73"/>
  <c r="D73"/>
  <c r="AD72"/>
  <c r="AD71"/>
  <c r="AD69"/>
  <c r="AD67"/>
  <c r="AD66"/>
  <c r="AD64"/>
  <c r="D64"/>
  <c r="G65" s="1"/>
  <c r="AD63"/>
  <c r="AD62"/>
  <c r="AD61"/>
  <c r="AD60"/>
  <c r="AD59"/>
  <c r="AD56"/>
  <c r="AD55"/>
  <c r="D55"/>
  <c r="D82" s="1"/>
  <c r="AD54"/>
  <c r="D54"/>
  <c r="D81" s="1"/>
  <c r="AD53"/>
  <c r="AD52"/>
  <c r="AD48"/>
  <c r="D48"/>
  <c r="AD47"/>
  <c r="AD46"/>
  <c r="AD45"/>
  <c r="D45"/>
  <c r="AD44"/>
  <c r="D44"/>
  <c r="D71" s="1"/>
  <c r="AC43"/>
  <c r="AB43"/>
  <c r="AA43"/>
  <c r="AA70" s="1"/>
  <c r="Z43"/>
  <c r="Z70" s="1"/>
  <c r="Y43"/>
  <c r="X43"/>
  <c r="W43"/>
  <c r="V43"/>
  <c r="V70" s="1"/>
  <c r="U43"/>
  <c r="T43"/>
  <c r="S43"/>
  <c r="R43"/>
  <c r="R70" s="1"/>
  <c r="R76" s="1"/>
  <c r="Q43"/>
  <c r="P43"/>
  <c r="O43"/>
  <c r="N43"/>
  <c r="N70" s="1"/>
  <c r="M43"/>
  <c r="L43"/>
  <c r="L70" s="1"/>
  <c r="K43"/>
  <c r="J43"/>
  <c r="J70" s="1"/>
  <c r="I43"/>
  <c r="H43"/>
  <c r="G43"/>
  <c r="G70" s="1"/>
  <c r="F43"/>
  <c r="F70" s="1"/>
  <c r="AD42"/>
  <c r="AD40"/>
  <c r="AD38"/>
  <c r="AD37"/>
  <c r="AD36"/>
  <c r="AD35"/>
  <c r="AD34"/>
  <c r="AD33"/>
  <c r="AD32"/>
  <c r="AD31"/>
  <c r="AD30"/>
  <c r="AD29"/>
  <c r="AD28"/>
  <c r="AD27"/>
  <c r="AD26"/>
  <c r="AD25"/>
  <c r="AD19"/>
  <c r="AD18"/>
  <c r="AD14"/>
  <c r="AD13"/>
  <c r="AD9"/>
  <c r="AD8"/>
  <c r="AD7"/>
  <c r="U50" i="32"/>
  <c r="F19" i="41"/>
  <c r="F19" i="42"/>
  <c r="J96" i="43"/>
  <c r="I96"/>
  <c r="H96"/>
  <c r="G96"/>
  <c r="J94"/>
  <c r="I94"/>
  <c r="H94"/>
  <c r="G94"/>
  <c r="A53"/>
  <c r="R49"/>
  <c r="Q49"/>
  <c r="P49"/>
  <c r="O49"/>
  <c r="N49"/>
  <c r="M49"/>
  <c r="L49"/>
  <c r="K49"/>
  <c r="J49"/>
  <c r="I49"/>
  <c r="A55" s="1"/>
  <c r="H49"/>
  <c r="G49"/>
  <c r="A54" s="1"/>
  <c r="F49"/>
  <c r="A56" s="1"/>
  <c r="E49"/>
  <c r="D49"/>
  <c r="U45"/>
  <c r="K44"/>
  <c r="I39"/>
  <c r="I40" s="1"/>
  <c r="H39"/>
  <c r="H40" s="1"/>
  <c r="E39"/>
  <c r="E40" s="1"/>
  <c r="D39"/>
  <c r="D40" s="1"/>
  <c r="G17" i="47"/>
  <c r="G103" s="1"/>
  <c r="C13" i="43"/>
  <c r="G16" i="47"/>
  <c r="C12" i="43"/>
  <c r="C7"/>
  <c r="D27"/>
  <c r="C6"/>
  <c r="C27" s="1"/>
  <c r="J94" i="42"/>
  <c r="I94"/>
  <c r="H94"/>
  <c r="G94"/>
  <c r="J92"/>
  <c r="I92"/>
  <c r="H92"/>
  <c r="G92"/>
  <c r="A53"/>
  <c r="R49"/>
  <c r="Q49"/>
  <c r="P49"/>
  <c r="O49"/>
  <c r="N49"/>
  <c r="M49"/>
  <c r="L49"/>
  <c r="K49"/>
  <c r="J49"/>
  <c r="I49"/>
  <c r="A55" s="1"/>
  <c r="H49"/>
  <c r="A57" s="1"/>
  <c r="G49"/>
  <c r="A54" s="1"/>
  <c r="F49"/>
  <c r="A56" s="1"/>
  <c r="E49"/>
  <c r="D49"/>
  <c r="U45"/>
  <c r="K44"/>
  <c r="I39"/>
  <c r="I40" s="1"/>
  <c r="H39"/>
  <c r="H40" s="1"/>
  <c r="E39"/>
  <c r="E40" s="1"/>
  <c r="D39"/>
  <c r="D40" s="1"/>
  <c r="D13"/>
  <c r="C13"/>
  <c r="D12"/>
  <c r="C12"/>
  <c r="D7"/>
  <c r="C7"/>
  <c r="D6"/>
  <c r="D27" s="1"/>
  <c r="C6"/>
  <c r="C27" s="1"/>
  <c r="A58" i="41"/>
  <c r="D49"/>
  <c r="J94"/>
  <c r="I94"/>
  <c r="H94"/>
  <c r="G94"/>
  <c r="J92"/>
  <c r="I92"/>
  <c r="H92"/>
  <c r="G92"/>
  <c r="R49"/>
  <c r="A53" s="1"/>
  <c r="Q49"/>
  <c r="P49"/>
  <c r="O49"/>
  <c r="N49"/>
  <c r="M49"/>
  <c r="L49"/>
  <c r="K49"/>
  <c r="J49"/>
  <c r="I49"/>
  <c r="A55" s="1"/>
  <c r="H49"/>
  <c r="A57" s="1"/>
  <c r="G49"/>
  <c r="A54" s="1"/>
  <c r="F49"/>
  <c r="A56" s="1"/>
  <c r="E49"/>
  <c r="U45"/>
  <c r="K44"/>
  <c r="I39"/>
  <c r="I40" s="1"/>
  <c r="H39"/>
  <c r="H40" s="1"/>
  <c r="E39"/>
  <c r="E40" s="1"/>
  <c r="D39"/>
  <c r="D40" s="1"/>
  <c r="D13"/>
  <c r="C13"/>
  <c r="D12"/>
  <c r="C12"/>
  <c r="D7"/>
  <c r="C7"/>
  <c r="D6"/>
  <c r="D27" s="1"/>
  <c r="C6"/>
  <c r="C27" s="1"/>
  <c r="C35" i="32"/>
  <c r="D34"/>
  <c r="D35" s="1"/>
  <c r="D33"/>
  <c r="G17" i="44"/>
  <c r="G97" s="1"/>
  <c r="G16"/>
  <c r="C13" i="40"/>
  <c r="F17" i="44" s="1"/>
  <c r="F97" s="1"/>
  <c r="C12" i="40"/>
  <c r="F16" i="44" s="1"/>
  <c r="C7" i="40"/>
  <c r="F12" i="44" s="1"/>
  <c r="F91" s="1"/>
  <c r="C6" i="40"/>
  <c r="U39"/>
  <c r="K38"/>
  <c r="I33"/>
  <c r="I34" s="1"/>
  <c r="H33"/>
  <c r="H34" s="1"/>
  <c r="E33"/>
  <c r="E34" s="1"/>
  <c r="X38" s="1"/>
  <c r="D33"/>
  <c r="D34" s="1"/>
  <c r="D38" s="1"/>
  <c r="R43"/>
  <c r="A47" s="1"/>
  <c r="Q43"/>
  <c r="P43"/>
  <c r="O43"/>
  <c r="N43"/>
  <c r="M43"/>
  <c r="L43"/>
  <c r="K43"/>
  <c r="J43"/>
  <c r="I43"/>
  <c r="A49" s="1"/>
  <c r="H43"/>
  <c r="G43"/>
  <c r="A48" s="1"/>
  <c r="F43"/>
  <c r="A50" s="1"/>
  <c r="E43"/>
  <c r="C25" i="32"/>
  <c r="F37" i="35" s="1"/>
  <c r="G39"/>
  <c r="AB37"/>
  <c r="AA37"/>
  <c r="Z37"/>
  <c r="Y37"/>
  <c r="X37"/>
  <c r="W37"/>
  <c r="V37"/>
  <c r="U37"/>
  <c r="T37"/>
  <c r="S37"/>
  <c r="R37"/>
  <c r="Q37"/>
  <c r="P37"/>
  <c r="O37"/>
  <c r="N37"/>
  <c r="M37"/>
  <c r="L37"/>
  <c r="K37"/>
  <c r="J37"/>
  <c r="I37"/>
  <c r="H37"/>
  <c r="G37"/>
  <c r="F39"/>
  <c r="D25" i="32"/>
  <c r="C46" i="9"/>
  <c r="C45"/>
  <c r="B46"/>
  <c r="E72" i="32"/>
  <c r="D112" i="44" l="1"/>
  <c r="D119" i="47"/>
  <c r="D180" i="35"/>
  <c r="D118" i="46"/>
  <c r="G119" s="1"/>
  <c r="G200" s="1"/>
  <c r="D118" i="45"/>
  <c r="J119" s="1"/>
  <c r="J203" s="1"/>
  <c r="G189" i="47"/>
  <c r="F240"/>
  <c r="F239"/>
  <c r="G189" i="46"/>
  <c r="G242" s="1"/>
  <c r="F240"/>
  <c r="F241"/>
  <c r="H189" i="45"/>
  <c r="G243"/>
  <c r="G244"/>
  <c r="F243"/>
  <c r="F244"/>
  <c r="Y38" i="40"/>
  <c r="C21"/>
  <c r="F23" i="44" s="1"/>
  <c r="V38" i="40"/>
  <c r="H38"/>
  <c r="Q38"/>
  <c r="U38"/>
  <c r="A51"/>
  <c r="A53" s="1"/>
  <c r="Y53" s="1"/>
  <c r="A52"/>
  <c r="C38"/>
  <c r="G38"/>
  <c r="L38"/>
  <c r="P38"/>
  <c r="T38"/>
  <c r="C18"/>
  <c r="F20" i="44" s="1"/>
  <c r="C20" i="40"/>
  <c r="F22" i="44" s="1"/>
  <c r="F11"/>
  <c r="F38" i="40"/>
  <c r="J38"/>
  <c r="O38"/>
  <c r="S38"/>
  <c r="W38"/>
  <c r="E38"/>
  <c r="I38"/>
  <c r="R38"/>
  <c r="Z38"/>
  <c r="N38"/>
  <c r="M38"/>
  <c r="D28" i="42"/>
  <c r="G24" i="46" s="1"/>
  <c r="G123" s="1"/>
  <c r="G124" s="1"/>
  <c r="G23"/>
  <c r="D28" i="41"/>
  <c r="G24" i="45" s="1"/>
  <c r="G123" s="1"/>
  <c r="G124" s="1"/>
  <c r="G23"/>
  <c r="C28" i="42"/>
  <c r="F24" i="46" s="1"/>
  <c r="F123" s="1"/>
  <c r="F23"/>
  <c r="C28" i="41"/>
  <c r="F24" i="45" s="1"/>
  <c r="F123" s="1"/>
  <c r="F124" s="1"/>
  <c r="F23"/>
  <c r="G183" i="44"/>
  <c r="F236"/>
  <c r="F237"/>
  <c r="G165"/>
  <c r="F165"/>
  <c r="G163"/>
  <c r="F163"/>
  <c r="G181"/>
  <c r="F216"/>
  <c r="F215"/>
  <c r="G187" i="45"/>
  <c r="F222"/>
  <c r="F223"/>
  <c r="AB171"/>
  <c r="S171"/>
  <c r="J171"/>
  <c r="Z171"/>
  <c r="U171"/>
  <c r="L171"/>
  <c r="O171"/>
  <c r="F171"/>
  <c r="V171"/>
  <c r="Q171"/>
  <c r="H171"/>
  <c r="X171"/>
  <c r="K171"/>
  <c r="AA171"/>
  <c r="R171"/>
  <c r="M171"/>
  <c r="AC171"/>
  <c r="T171"/>
  <c r="G171"/>
  <c r="W171"/>
  <c r="N171"/>
  <c r="I171"/>
  <c r="Y171"/>
  <c r="P171"/>
  <c r="AA169"/>
  <c r="F169"/>
  <c r="Z169"/>
  <c r="M169"/>
  <c r="I169"/>
  <c r="G169"/>
  <c r="W169"/>
  <c r="U169"/>
  <c r="P169"/>
  <c r="H169"/>
  <c r="AC169"/>
  <c r="Y169"/>
  <c r="S169"/>
  <c r="J169"/>
  <c r="AB169"/>
  <c r="V169"/>
  <c r="X169"/>
  <c r="T169"/>
  <c r="O169"/>
  <c r="Q169"/>
  <c r="L169"/>
  <c r="R169"/>
  <c r="N169"/>
  <c r="K169"/>
  <c r="AB171" i="46"/>
  <c r="I171"/>
  <c r="G171"/>
  <c r="AC171"/>
  <c r="AA171"/>
  <c r="Z171"/>
  <c r="H171"/>
  <c r="X171"/>
  <c r="Y171"/>
  <c r="W171"/>
  <c r="V171"/>
  <c r="U171"/>
  <c r="T171"/>
  <c r="S171"/>
  <c r="R171"/>
  <c r="Q171"/>
  <c r="O171"/>
  <c r="P171"/>
  <c r="N171"/>
  <c r="M171"/>
  <c r="K171"/>
  <c r="J171"/>
  <c r="L171"/>
  <c r="F171"/>
  <c r="AC158"/>
  <c r="T158"/>
  <c r="O158"/>
  <c r="V158"/>
  <c r="M158"/>
  <c r="P158"/>
  <c r="K158"/>
  <c r="AA158"/>
  <c r="R158"/>
  <c r="I158"/>
  <c r="Y158"/>
  <c r="L158"/>
  <c r="AB158"/>
  <c r="G158"/>
  <c r="W158"/>
  <c r="N158"/>
  <c r="U158"/>
  <c r="F158"/>
  <c r="H158"/>
  <c r="X158"/>
  <c r="S158"/>
  <c r="J158"/>
  <c r="Z158"/>
  <c r="Q158"/>
  <c r="Z169"/>
  <c r="Q169"/>
  <c r="T169"/>
  <c r="K169"/>
  <c r="AA169"/>
  <c r="V169"/>
  <c r="M169"/>
  <c r="AC169"/>
  <c r="P169"/>
  <c r="G169"/>
  <c r="W169"/>
  <c r="R169"/>
  <c r="I169"/>
  <c r="Y169"/>
  <c r="L169"/>
  <c r="AB169"/>
  <c r="S169"/>
  <c r="N169"/>
  <c r="F169"/>
  <c r="U169"/>
  <c r="H169"/>
  <c r="X169"/>
  <c r="O169"/>
  <c r="J169"/>
  <c r="AC156"/>
  <c r="L156"/>
  <c r="AB156"/>
  <c r="G156"/>
  <c r="W156"/>
  <c r="J156"/>
  <c r="Z156"/>
  <c r="Q156"/>
  <c r="H156"/>
  <c r="X156"/>
  <c r="F156"/>
  <c r="S156"/>
  <c r="V156"/>
  <c r="M156"/>
  <c r="T156"/>
  <c r="O156"/>
  <c r="R156"/>
  <c r="I156"/>
  <c r="Y156"/>
  <c r="P156"/>
  <c r="K156"/>
  <c r="AA156"/>
  <c r="N156"/>
  <c r="U156"/>
  <c r="G187"/>
  <c r="F220"/>
  <c r="F219"/>
  <c r="F157" i="47"/>
  <c r="F159"/>
  <c r="F166"/>
  <c r="D172"/>
  <c r="G164"/>
  <c r="D164" i="46"/>
  <c r="D170" s="1"/>
  <c r="D157"/>
  <c r="D164" i="45"/>
  <c r="D170" s="1"/>
  <c r="D157"/>
  <c r="D158" i="44"/>
  <c r="D164" s="1"/>
  <c r="D151"/>
  <c r="G187" i="47"/>
  <c r="F219"/>
  <c r="F218"/>
  <c r="F146" i="44"/>
  <c r="F147" s="1"/>
  <c r="F157"/>
  <c r="F158" s="1"/>
  <c r="G157"/>
  <c r="F65"/>
  <c r="F144"/>
  <c r="F145" s="1"/>
  <c r="G159"/>
  <c r="F159"/>
  <c r="AD10" i="46"/>
  <c r="G71"/>
  <c r="F71"/>
  <c r="AC150"/>
  <c r="AC151" s="1"/>
  <c r="Y150"/>
  <c r="Y151" s="1"/>
  <c r="U150"/>
  <c r="U151" s="1"/>
  <c r="Q150"/>
  <c r="Q151" s="1"/>
  <c r="M150"/>
  <c r="M151" s="1"/>
  <c r="I150"/>
  <c r="I151" s="1"/>
  <c r="Z150"/>
  <c r="Z151" s="1"/>
  <c r="V150"/>
  <c r="V151" s="1"/>
  <c r="R150"/>
  <c r="R151" s="1"/>
  <c r="N150"/>
  <c r="N151" s="1"/>
  <c r="J150"/>
  <c r="J151" s="1"/>
  <c r="AA150"/>
  <c r="AA151" s="1"/>
  <c r="W150"/>
  <c r="W151" s="1"/>
  <c r="S150"/>
  <c r="S151" s="1"/>
  <c r="O150"/>
  <c r="O151" s="1"/>
  <c r="K150"/>
  <c r="K151" s="1"/>
  <c r="G150"/>
  <c r="G151" s="1"/>
  <c r="AB150"/>
  <c r="AB151" s="1"/>
  <c r="X150"/>
  <c r="X151" s="1"/>
  <c r="T150"/>
  <c r="T151" s="1"/>
  <c r="P150"/>
  <c r="P151" s="1"/>
  <c r="L150"/>
  <c r="L151" s="1"/>
  <c r="H150"/>
  <c r="H151" s="1"/>
  <c r="F150"/>
  <c r="F151" s="1"/>
  <c r="AA165"/>
  <c r="W165"/>
  <c r="S165"/>
  <c r="O165"/>
  <c r="K165"/>
  <c r="G165"/>
  <c r="AB165"/>
  <c r="X165"/>
  <c r="T165"/>
  <c r="P165"/>
  <c r="L165"/>
  <c r="H165"/>
  <c r="AC165"/>
  <c r="Y165"/>
  <c r="U165"/>
  <c r="Q165"/>
  <c r="M165"/>
  <c r="I165"/>
  <c r="Z165"/>
  <c r="V165"/>
  <c r="R165"/>
  <c r="N165"/>
  <c r="J165"/>
  <c r="F165"/>
  <c r="AC152"/>
  <c r="AC153" s="1"/>
  <c r="Y152"/>
  <c r="Y153" s="1"/>
  <c r="U152"/>
  <c r="U153" s="1"/>
  <c r="Q152"/>
  <c r="Q153" s="1"/>
  <c r="M152"/>
  <c r="I152"/>
  <c r="I153" s="1"/>
  <c r="Z152"/>
  <c r="Z153" s="1"/>
  <c r="V152"/>
  <c r="V153" s="1"/>
  <c r="R152"/>
  <c r="N152"/>
  <c r="N153" s="1"/>
  <c r="J152"/>
  <c r="J153" s="1"/>
  <c r="F152"/>
  <c r="F153" s="1"/>
  <c r="AA152"/>
  <c r="AA153" s="1"/>
  <c r="W152"/>
  <c r="W153" s="1"/>
  <c r="S152"/>
  <c r="S153" s="1"/>
  <c r="O152"/>
  <c r="O153" s="1"/>
  <c r="K152"/>
  <c r="K153" s="1"/>
  <c r="G152"/>
  <c r="AB152"/>
  <c r="AB153" s="1"/>
  <c r="X152"/>
  <c r="T152"/>
  <c r="T153" s="1"/>
  <c r="P152"/>
  <c r="P153" s="1"/>
  <c r="L152"/>
  <c r="L153" s="1"/>
  <c r="H152"/>
  <c r="H153" s="1"/>
  <c r="Z163"/>
  <c r="Z164" s="1"/>
  <c r="V163"/>
  <c r="V164" s="1"/>
  <c r="R163"/>
  <c r="R164" s="1"/>
  <c r="N163"/>
  <c r="J163"/>
  <c r="AA163"/>
  <c r="AA164" s="1"/>
  <c r="W163"/>
  <c r="W164" s="1"/>
  <c r="S163"/>
  <c r="S164" s="1"/>
  <c r="O163"/>
  <c r="O164" s="1"/>
  <c r="K163"/>
  <c r="K164" s="1"/>
  <c r="G163"/>
  <c r="G164" s="1"/>
  <c r="AB163"/>
  <c r="AB164" s="1"/>
  <c r="X163"/>
  <c r="T163"/>
  <c r="T164" s="1"/>
  <c r="P163"/>
  <c r="P164" s="1"/>
  <c r="L163"/>
  <c r="L164" s="1"/>
  <c r="H163"/>
  <c r="H164" s="1"/>
  <c r="F163"/>
  <c r="F164" s="1"/>
  <c r="AC163"/>
  <c r="AC164" s="1"/>
  <c r="Y163"/>
  <c r="Y164" s="1"/>
  <c r="U163"/>
  <c r="Q163"/>
  <c r="Q164" s="1"/>
  <c r="M163"/>
  <c r="M164" s="1"/>
  <c r="I163"/>
  <c r="I164" s="1"/>
  <c r="D28" i="43"/>
  <c r="G24" i="47" s="1"/>
  <c r="G124" s="1"/>
  <c r="G125" s="1"/>
  <c r="G23"/>
  <c r="G178" s="1"/>
  <c r="C28" i="43"/>
  <c r="F24" i="47" s="1"/>
  <c r="F124" s="1"/>
  <c r="F125" s="1"/>
  <c r="F23"/>
  <c r="F178" s="1"/>
  <c r="G221" i="46"/>
  <c r="AA152" i="45"/>
  <c r="AA153" s="1"/>
  <c r="AB152"/>
  <c r="AB153" s="1"/>
  <c r="X152"/>
  <c r="X153" s="1"/>
  <c r="T152"/>
  <c r="T153" s="1"/>
  <c r="P152"/>
  <c r="P153" s="1"/>
  <c r="L152"/>
  <c r="L153" s="1"/>
  <c r="H152"/>
  <c r="F152"/>
  <c r="F153" s="1"/>
  <c r="W152"/>
  <c r="W153" s="1"/>
  <c r="K152"/>
  <c r="K153" s="1"/>
  <c r="AC152"/>
  <c r="AC153" s="1"/>
  <c r="Y152"/>
  <c r="Y153" s="1"/>
  <c r="U152"/>
  <c r="U153" s="1"/>
  <c r="Q152"/>
  <c r="Q153" s="1"/>
  <c r="M152"/>
  <c r="M153" s="1"/>
  <c r="I152"/>
  <c r="O152"/>
  <c r="O153" s="1"/>
  <c r="Z152"/>
  <c r="Z153" s="1"/>
  <c r="V152"/>
  <c r="V153" s="1"/>
  <c r="R152"/>
  <c r="N152"/>
  <c r="J152"/>
  <c r="J153" s="1"/>
  <c r="S152"/>
  <c r="S153" s="1"/>
  <c r="G152"/>
  <c r="AC163"/>
  <c r="AC164" s="1"/>
  <c r="Y163"/>
  <c r="Y164" s="1"/>
  <c r="U163"/>
  <c r="U164" s="1"/>
  <c r="Q163"/>
  <c r="Q164" s="1"/>
  <c r="M163"/>
  <c r="M164" s="1"/>
  <c r="I163"/>
  <c r="I164" s="1"/>
  <c r="AB163"/>
  <c r="AB164" s="1"/>
  <c r="P163"/>
  <c r="Z163"/>
  <c r="Z164" s="1"/>
  <c r="V163"/>
  <c r="V164" s="1"/>
  <c r="R163"/>
  <c r="R164" s="1"/>
  <c r="N163"/>
  <c r="N164" s="1"/>
  <c r="J163"/>
  <c r="J164" s="1"/>
  <c r="F163"/>
  <c r="F164" s="1"/>
  <c r="T163"/>
  <c r="H163"/>
  <c r="AA163"/>
  <c r="AA164" s="1"/>
  <c r="W163"/>
  <c r="W164" s="1"/>
  <c r="S163"/>
  <c r="S164" s="1"/>
  <c r="O163"/>
  <c r="K163"/>
  <c r="K164" s="1"/>
  <c r="G163"/>
  <c r="G164" s="1"/>
  <c r="X163"/>
  <c r="X164" s="1"/>
  <c r="L163"/>
  <c r="L164" s="1"/>
  <c r="K150"/>
  <c r="K151" s="1"/>
  <c r="AB150"/>
  <c r="AB151" s="1"/>
  <c r="X150"/>
  <c r="X151" s="1"/>
  <c r="T150"/>
  <c r="T151" s="1"/>
  <c r="P150"/>
  <c r="P151" s="1"/>
  <c r="L150"/>
  <c r="L151" s="1"/>
  <c r="H150"/>
  <c r="H151" s="1"/>
  <c r="W150"/>
  <c r="W151" s="1"/>
  <c r="G150"/>
  <c r="G151" s="1"/>
  <c r="AC150"/>
  <c r="AC151" s="1"/>
  <c r="Y150"/>
  <c r="Y151" s="1"/>
  <c r="U150"/>
  <c r="U151" s="1"/>
  <c r="Q150"/>
  <c r="Q151" s="1"/>
  <c r="M150"/>
  <c r="M151" s="1"/>
  <c r="I150"/>
  <c r="I151" s="1"/>
  <c r="S150"/>
  <c r="S151" s="1"/>
  <c r="Z150"/>
  <c r="Z151" s="1"/>
  <c r="V150"/>
  <c r="V151" s="1"/>
  <c r="R150"/>
  <c r="R151" s="1"/>
  <c r="N150"/>
  <c r="N151" s="1"/>
  <c r="J150"/>
  <c r="J151" s="1"/>
  <c r="F150"/>
  <c r="F151" s="1"/>
  <c r="AA150"/>
  <c r="AA151" s="1"/>
  <c r="O150"/>
  <c r="O151" s="1"/>
  <c r="Z165"/>
  <c r="V165"/>
  <c r="R165"/>
  <c r="N165"/>
  <c r="J165"/>
  <c r="AC165"/>
  <c r="Q165"/>
  <c r="AA165"/>
  <c r="W165"/>
  <c r="S165"/>
  <c r="O165"/>
  <c r="K165"/>
  <c r="G165"/>
  <c r="U165"/>
  <c r="I165"/>
  <c r="AB165"/>
  <c r="X165"/>
  <c r="T165"/>
  <c r="P165"/>
  <c r="L165"/>
  <c r="H165"/>
  <c r="F165"/>
  <c r="Y165"/>
  <c r="M165"/>
  <c r="F151" i="47"/>
  <c r="F152" s="1"/>
  <c r="G151"/>
  <c r="G152" s="1"/>
  <c r="G166"/>
  <c r="F153"/>
  <c r="F154" s="1"/>
  <c r="G153"/>
  <c r="D165"/>
  <c r="D171" s="1"/>
  <c r="D176" i="46"/>
  <c r="J164"/>
  <c r="N164"/>
  <c r="U164"/>
  <c r="X164"/>
  <c r="D170" i="44"/>
  <c r="D176" i="45"/>
  <c r="H164"/>
  <c r="O164"/>
  <c r="T164"/>
  <c r="P164"/>
  <c r="D160" i="44"/>
  <c r="D166" s="1"/>
  <c r="D166" i="45"/>
  <c r="D172" s="1"/>
  <c r="H153"/>
  <c r="N153"/>
  <c r="I153"/>
  <c r="R153"/>
  <c r="G153"/>
  <c r="D167" i="47"/>
  <c r="G154"/>
  <c r="D166" i="46"/>
  <c r="D172" s="1"/>
  <c r="X153"/>
  <c r="M153"/>
  <c r="R153"/>
  <c r="G153"/>
  <c r="M49" i="44"/>
  <c r="P70"/>
  <c r="P76" s="1"/>
  <c r="AB70"/>
  <c r="T70"/>
  <c r="R55" i="46"/>
  <c r="R98" s="1"/>
  <c r="R99" s="1"/>
  <c r="M82"/>
  <c r="M104" s="1"/>
  <c r="M105" s="1"/>
  <c r="J55" i="45"/>
  <c r="J56" s="1"/>
  <c r="J57" s="1"/>
  <c r="V55"/>
  <c r="V98" s="1"/>
  <c r="V99" s="1"/>
  <c r="Z55"/>
  <c r="Z56" s="1"/>
  <c r="Z57" s="1"/>
  <c r="AD49"/>
  <c r="AC55"/>
  <c r="AC56" s="1"/>
  <c r="AC57" s="1"/>
  <c r="U76"/>
  <c r="G116" i="47"/>
  <c r="H70" i="44"/>
  <c r="H76" s="1"/>
  <c r="X70"/>
  <c r="AC49"/>
  <c r="AC92" s="1"/>
  <c r="K55" i="47"/>
  <c r="K98" s="1"/>
  <c r="O55"/>
  <c r="O98" s="1"/>
  <c r="AA55"/>
  <c r="R76"/>
  <c r="Z55"/>
  <c r="Z98" s="1"/>
  <c r="N76"/>
  <c r="AD28"/>
  <c r="D63"/>
  <c r="D100" s="1"/>
  <c r="AD17" i="46"/>
  <c r="H76"/>
  <c r="H82" s="1"/>
  <c r="H83" s="1"/>
  <c r="H84" s="1"/>
  <c r="X76"/>
  <c r="X82" s="1"/>
  <c r="X83" s="1"/>
  <c r="X84" s="1"/>
  <c r="AD20"/>
  <c r="AD21"/>
  <c r="AD49"/>
  <c r="D63"/>
  <c r="Y63" s="1"/>
  <c r="Y64" s="1"/>
  <c r="T76"/>
  <c r="T82" s="1"/>
  <c r="AB76"/>
  <c r="AB82" s="1"/>
  <c r="AC76" i="45"/>
  <c r="AD10"/>
  <c r="AD47"/>
  <c r="AD97"/>
  <c r="K55"/>
  <c r="K98" s="1"/>
  <c r="K99" s="1"/>
  <c r="AA55"/>
  <c r="AA98" s="1"/>
  <c r="AA99" s="1"/>
  <c r="I76"/>
  <c r="AD28"/>
  <c r="AD29"/>
  <c r="Q76"/>
  <c r="D90" i="47"/>
  <c r="AD49"/>
  <c r="I55"/>
  <c r="M55"/>
  <c r="Q55"/>
  <c r="U55"/>
  <c r="Y55"/>
  <c r="AC55"/>
  <c r="F74"/>
  <c r="H76"/>
  <c r="L76"/>
  <c r="P76"/>
  <c r="T76"/>
  <c r="X76"/>
  <c r="AB76"/>
  <c r="G176"/>
  <c r="H55"/>
  <c r="L55"/>
  <c r="P55"/>
  <c r="T55"/>
  <c r="X55"/>
  <c r="AB55"/>
  <c r="G76"/>
  <c r="K76"/>
  <c r="O76"/>
  <c r="S76"/>
  <c r="W76"/>
  <c r="AA76"/>
  <c r="D77"/>
  <c r="I82" s="1"/>
  <c r="G55"/>
  <c r="S55"/>
  <c r="W55"/>
  <c r="F55"/>
  <c r="J55"/>
  <c r="N55"/>
  <c r="R55"/>
  <c r="V55"/>
  <c r="G74"/>
  <c r="M76"/>
  <c r="AC76"/>
  <c r="G120"/>
  <c r="G199" s="1"/>
  <c r="F120"/>
  <c r="F199" s="1"/>
  <c r="AD45" i="46"/>
  <c r="L82"/>
  <c r="H104"/>
  <c r="H105" s="1"/>
  <c r="X104"/>
  <c r="X105" s="1"/>
  <c r="AA63"/>
  <c r="AA64" s="1"/>
  <c r="AC82"/>
  <c r="P82"/>
  <c r="G131"/>
  <c r="F179"/>
  <c r="F177"/>
  <c r="F175"/>
  <c r="F112"/>
  <c r="AD11"/>
  <c r="AD15"/>
  <c r="F47"/>
  <c r="J47"/>
  <c r="N47"/>
  <c r="R47"/>
  <c r="V47"/>
  <c r="Z47"/>
  <c r="Z63" s="1"/>
  <c r="Z64" s="1"/>
  <c r="G55"/>
  <c r="K55"/>
  <c r="O55"/>
  <c r="S55"/>
  <c r="W55"/>
  <c r="AA55"/>
  <c r="F76"/>
  <c r="J76"/>
  <c r="J82" s="1"/>
  <c r="N76"/>
  <c r="N82" s="1"/>
  <c r="R76"/>
  <c r="R82" s="1"/>
  <c r="V76"/>
  <c r="V82" s="1"/>
  <c r="Z76"/>
  <c r="Z82" s="1"/>
  <c r="H119"/>
  <c r="H200" s="1"/>
  <c r="F131"/>
  <c r="AD22"/>
  <c r="F55"/>
  <c r="J55"/>
  <c r="N55"/>
  <c r="V55"/>
  <c r="Z55"/>
  <c r="O74"/>
  <c r="I76"/>
  <c r="I82" s="1"/>
  <c r="Q76"/>
  <c r="Q82" s="1"/>
  <c r="U76"/>
  <c r="U82" s="1"/>
  <c r="Y76"/>
  <c r="Y82" s="1"/>
  <c r="F103"/>
  <c r="AD103" s="1"/>
  <c r="H47"/>
  <c r="L47"/>
  <c r="L63" s="1"/>
  <c r="L64" s="1"/>
  <c r="P47"/>
  <c r="T47"/>
  <c r="T63" s="1"/>
  <c r="T64" s="1"/>
  <c r="X47"/>
  <c r="X63" s="1"/>
  <c r="X64" s="1"/>
  <c r="AB47"/>
  <c r="AB63" s="1"/>
  <c r="AB64" s="1"/>
  <c r="I55"/>
  <c r="M55"/>
  <c r="Q55"/>
  <c r="U55"/>
  <c r="Y55"/>
  <c r="AC55"/>
  <c r="D88"/>
  <c r="G179"/>
  <c r="G180" s="1"/>
  <c r="G177"/>
  <c r="G175"/>
  <c r="G112"/>
  <c r="G121" s="1"/>
  <c r="G207" s="1"/>
  <c r="F124"/>
  <c r="AD97"/>
  <c r="AD12"/>
  <c r="AD16"/>
  <c r="H55"/>
  <c r="L55"/>
  <c r="P55"/>
  <c r="T55"/>
  <c r="X55"/>
  <c r="AB55"/>
  <c r="I74"/>
  <c r="M74"/>
  <c r="M83" s="1"/>
  <c r="M84" s="1"/>
  <c r="Q74"/>
  <c r="Y74"/>
  <c r="AC74"/>
  <c r="G76"/>
  <c r="G82" s="1"/>
  <c r="K76"/>
  <c r="K82" s="1"/>
  <c r="O76"/>
  <c r="O82" s="1"/>
  <c r="S76"/>
  <c r="S82" s="1"/>
  <c r="W76"/>
  <c r="W82" s="1"/>
  <c r="AA76"/>
  <c r="AA82" s="1"/>
  <c r="F119"/>
  <c r="F200" s="1"/>
  <c r="F242" s="1"/>
  <c r="J119"/>
  <c r="J200" s="1"/>
  <c r="I119"/>
  <c r="I200" s="1"/>
  <c r="H187"/>
  <c r="AD45" i="45"/>
  <c r="D90"/>
  <c r="J98"/>
  <c r="J99" s="1"/>
  <c r="G179"/>
  <c r="G180" s="1"/>
  <c r="G177"/>
  <c r="G175"/>
  <c r="G112"/>
  <c r="AD12"/>
  <c r="AD16"/>
  <c r="H55"/>
  <c r="L55"/>
  <c r="P55"/>
  <c r="T55"/>
  <c r="X55"/>
  <c r="AB55"/>
  <c r="D63"/>
  <c r="I74"/>
  <c r="M74"/>
  <c r="Y74"/>
  <c r="AC74"/>
  <c r="G76"/>
  <c r="K76"/>
  <c r="O76"/>
  <c r="S76"/>
  <c r="W76"/>
  <c r="AA76"/>
  <c r="D77"/>
  <c r="AC82" s="1"/>
  <c r="G131"/>
  <c r="F179"/>
  <c r="F177"/>
  <c r="F175"/>
  <c r="F112"/>
  <c r="AD11"/>
  <c r="AD15"/>
  <c r="G55"/>
  <c r="O55"/>
  <c r="S55"/>
  <c r="W55"/>
  <c r="F76"/>
  <c r="J76"/>
  <c r="N76"/>
  <c r="N82" s="1"/>
  <c r="R76"/>
  <c r="V76"/>
  <c r="Z76"/>
  <c r="F131"/>
  <c r="AD22"/>
  <c r="AD115"/>
  <c r="AD30"/>
  <c r="F55"/>
  <c r="N55"/>
  <c r="R55"/>
  <c r="G74"/>
  <c r="S74"/>
  <c r="W74"/>
  <c r="AD103"/>
  <c r="AD17"/>
  <c r="I55"/>
  <c r="M55"/>
  <c r="Q55"/>
  <c r="U55"/>
  <c r="Y55"/>
  <c r="N74"/>
  <c r="R74"/>
  <c r="H76"/>
  <c r="L76"/>
  <c r="P76"/>
  <c r="T76"/>
  <c r="X76"/>
  <c r="AB76"/>
  <c r="I189"/>
  <c r="I119"/>
  <c r="I203" s="1"/>
  <c r="I245" s="1"/>
  <c r="L76" i="44"/>
  <c r="AB76"/>
  <c r="N76"/>
  <c r="X76"/>
  <c r="G76"/>
  <c r="AA76"/>
  <c r="T76"/>
  <c r="R98"/>
  <c r="J76"/>
  <c r="V76"/>
  <c r="K49"/>
  <c r="S49"/>
  <c r="W49"/>
  <c r="Q49"/>
  <c r="AB49"/>
  <c r="AD43"/>
  <c r="J49"/>
  <c r="P49"/>
  <c r="U49"/>
  <c r="Z49"/>
  <c r="D57"/>
  <c r="G68"/>
  <c r="M70"/>
  <c r="M76" s="1"/>
  <c r="S70"/>
  <c r="S76" s="1"/>
  <c r="AC70"/>
  <c r="AC76" s="1"/>
  <c r="I49"/>
  <c r="N49"/>
  <c r="T49"/>
  <c r="Y49"/>
  <c r="F68"/>
  <c r="Q70"/>
  <c r="Q76" s="1"/>
  <c r="W70"/>
  <c r="W76" s="1"/>
  <c r="F41"/>
  <c r="H49"/>
  <c r="R49"/>
  <c r="X49"/>
  <c r="K70"/>
  <c r="K76" s="1"/>
  <c r="U70"/>
  <c r="U76" s="1"/>
  <c r="Z76"/>
  <c r="G49"/>
  <c r="O49"/>
  <c r="AA49"/>
  <c r="L49"/>
  <c r="V49"/>
  <c r="I70"/>
  <c r="I76" s="1"/>
  <c r="O70"/>
  <c r="O76" s="1"/>
  <c r="Y70"/>
  <c r="Y76" s="1"/>
  <c r="D84"/>
  <c r="G196"/>
  <c r="G238" s="1"/>
  <c r="F196"/>
  <c r="F238" s="1"/>
  <c r="J196"/>
  <c r="A58" i="42"/>
  <c r="A57" i="43"/>
  <c r="A58"/>
  <c r="W44"/>
  <c r="S44"/>
  <c r="O44"/>
  <c r="X44"/>
  <c r="T44"/>
  <c r="P44"/>
  <c r="L44"/>
  <c r="Y44"/>
  <c r="U44"/>
  <c r="Q44"/>
  <c r="M44"/>
  <c r="Z44"/>
  <c r="V44"/>
  <c r="R44"/>
  <c r="N44"/>
  <c r="A59"/>
  <c r="K59" s="1"/>
  <c r="G44"/>
  <c r="C44"/>
  <c r="H44"/>
  <c r="D44"/>
  <c r="I44"/>
  <c r="E44"/>
  <c r="J44"/>
  <c r="F44"/>
  <c r="F59" s="1"/>
  <c r="D24"/>
  <c r="G20" i="47" s="1"/>
  <c r="D26" i="43"/>
  <c r="G22" i="47" s="1"/>
  <c r="C24" i="43"/>
  <c r="C26"/>
  <c r="C19" s="1"/>
  <c r="W44" i="42"/>
  <c r="S44"/>
  <c r="O44"/>
  <c r="X44"/>
  <c r="T44"/>
  <c r="P44"/>
  <c r="L44"/>
  <c r="Y44"/>
  <c r="U44"/>
  <c r="Q44"/>
  <c r="M44"/>
  <c r="Z44"/>
  <c r="V44"/>
  <c r="R44"/>
  <c r="N44"/>
  <c r="A59"/>
  <c r="K59" s="1"/>
  <c r="G44"/>
  <c r="C44"/>
  <c r="H44"/>
  <c r="D44"/>
  <c r="D59" s="1"/>
  <c r="I44"/>
  <c r="E44"/>
  <c r="E59" s="1"/>
  <c r="J44"/>
  <c r="F44"/>
  <c r="F59" s="1"/>
  <c r="I30" i="46"/>
  <c r="I115" s="1"/>
  <c r="D24" i="42"/>
  <c r="D26"/>
  <c r="D19" s="1"/>
  <c r="C24"/>
  <c r="C26"/>
  <c r="C19" s="1"/>
  <c r="J44" i="41"/>
  <c r="F44"/>
  <c r="G44"/>
  <c r="C44"/>
  <c r="C63" s="1"/>
  <c r="H44"/>
  <c r="D44"/>
  <c r="I44"/>
  <c r="E44"/>
  <c r="A59"/>
  <c r="K59" s="1"/>
  <c r="Z44"/>
  <c r="V44"/>
  <c r="R44"/>
  <c r="N44"/>
  <c r="W44"/>
  <c r="S44"/>
  <c r="O44"/>
  <c r="X44"/>
  <c r="T44"/>
  <c r="P44"/>
  <c r="L44"/>
  <c r="Y44"/>
  <c r="U44"/>
  <c r="Q44"/>
  <c r="M44"/>
  <c r="D24"/>
  <c r="D26"/>
  <c r="C24"/>
  <c r="C26"/>
  <c r="C19" s="1"/>
  <c r="G31" i="35"/>
  <c r="AC30"/>
  <c r="AB30"/>
  <c r="AA30"/>
  <c r="Z30"/>
  <c r="Y30"/>
  <c r="X30"/>
  <c r="W30"/>
  <c r="V30"/>
  <c r="U30"/>
  <c r="T30"/>
  <c r="S30"/>
  <c r="R30"/>
  <c r="Q30"/>
  <c r="P30"/>
  <c r="O30"/>
  <c r="N30"/>
  <c r="M30"/>
  <c r="L30"/>
  <c r="K30"/>
  <c r="J30"/>
  <c r="I30"/>
  <c r="H30"/>
  <c r="G30"/>
  <c r="G29"/>
  <c r="AC26"/>
  <c r="AB26"/>
  <c r="AA26"/>
  <c r="Z26"/>
  <c r="Y26"/>
  <c r="X26"/>
  <c r="W26"/>
  <c r="V26"/>
  <c r="U26"/>
  <c r="T26"/>
  <c r="S26"/>
  <c r="R26"/>
  <c r="Q26"/>
  <c r="P26"/>
  <c r="O26"/>
  <c r="N26"/>
  <c r="M26"/>
  <c r="L26"/>
  <c r="K26"/>
  <c r="J26"/>
  <c r="I26"/>
  <c r="H26"/>
  <c r="G26"/>
  <c r="AC25"/>
  <c r="AB25"/>
  <c r="AA25"/>
  <c r="Z25"/>
  <c r="Y25"/>
  <c r="X25"/>
  <c r="W25"/>
  <c r="V25"/>
  <c r="U25"/>
  <c r="T25"/>
  <c r="S25"/>
  <c r="R25"/>
  <c r="Q25"/>
  <c r="P25"/>
  <c r="O25"/>
  <c r="N25"/>
  <c r="M25"/>
  <c r="L25"/>
  <c r="K25"/>
  <c r="J25"/>
  <c r="I25"/>
  <c r="H25"/>
  <c r="G25"/>
  <c r="AC24"/>
  <c r="AB24"/>
  <c r="AA24"/>
  <c r="Z24"/>
  <c r="Y24"/>
  <c r="X24"/>
  <c r="W24"/>
  <c r="V24"/>
  <c r="U24"/>
  <c r="T24"/>
  <c r="S24"/>
  <c r="R24"/>
  <c r="Q24"/>
  <c r="P24"/>
  <c r="O24"/>
  <c r="N24"/>
  <c r="M24"/>
  <c r="L24"/>
  <c r="K24"/>
  <c r="J24"/>
  <c r="I24"/>
  <c r="H24"/>
  <c r="G24"/>
  <c r="AC23"/>
  <c r="AB23"/>
  <c r="AA23"/>
  <c r="Z23"/>
  <c r="Y23"/>
  <c r="X23"/>
  <c r="W23"/>
  <c r="V23"/>
  <c r="U23"/>
  <c r="T23"/>
  <c r="S23"/>
  <c r="R23"/>
  <c r="Q23"/>
  <c r="P23"/>
  <c r="O23"/>
  <c r="N23"/>
  <c r="M23"/>
  <c r="L23"/>
  <c r="K23"/>
  <c r="J23"/>
  <c r="I23"/>
  <c r="H23"/>
  <c r="G23"/>
  <c r="AC22"/>
  <c r="AB22"/>
  <c r="AA22"/>
  <c r="Z22"/>
  <c r="Y22"/>
  <c r="X22"/>
  <c r="W22"/>
  <c r="V22"/>
  <c r="U22"/>
  <c r="T22"/>
  <c r="S22"/>
  <c r="R22"/>
  <c r="Q22"/>
  <c r="P22"/>
  <c r="O22"/>
  <c r="N22"/>
  <c r="M22"/>
  <c r="L22"/>
  <c r="K22"/>
  <c r="J22"/>
  <c r="I22"/>
  <c r="H22"/>
  <c r="G22"/>
  <c r="AC21"/>
  <c r="AB21"/>
  <c r="AA21"/>
  <c r="Z21"/>
  <c r="Y21"/>
  <c r="X21"/>
  <c r="W21"/>
  <c r="V21"/>
  <c r="U21"/>
  <c r="T21"/>
  <c r="S21"/>
  <c r="R21"/>
  <c r="Q21"/>
  <c r="P21"/>
  <c r="O21"/>
  <c r="N21"/>
  <c r="M21"/>
  <c r="L21"/>
  <c r="K21"/>
  <c r="J21"/>
  <c r="I21"/>
  <c r="H21"/>
  <c r="G21"/>
  <c r="AC20"/>
  <c r="AB20"/>
  <c r="AA20"/>
  <c r="Z20"/>
  <c r="Y20"/>
  <c r="X20"/>
  <c r="W20"/>
  <c r="V20"/>
  <c r="U20"/>
  <c r="T20"/>
  <c r="S20"/>
  <c r="R20"/>
  <c r="Q20"/>
  <c r="P20"/>
  <c r="O20"/>
  <c r="N20"/>
  <c r="M20"/>
  <c r="L20"/>
  <c r="K20"/>
  <c r="J20"/>
  <c r="I20"/>
  <c r="H20"/>
  <c r="G20"/>
  <c r="G17"/>
  <c r="G16"/>
  <c r="G15"/>
  <c r="G12"/>
  <c r="G11"/>
  <c r="H10"/>
  <c r="G10"/>
  <c r="F32"/>
  <c r="F31"/>
  <c r="F30"/>
  <c r="F29"/>
  <c r="F26"/>
  <c r="F25"/>
  <c r="F24"/>
  <c r="F23"/>
  <c r="F22"/>
  <c r="F21"/>
  <c r="F17"/>
  <c r="F16"/>
  <c r="F15"/>
  <c r="F20"/>
  <c r="F12"/>
  <c r="F11"/>
  <c r="F10"/>
  <c r="G32"/>
  <c r="D31" i="32"/>
  <c r="C31"/>
  <c r="E5"/>
  <c r="Z21"/>
  <c r="Y21"/>
  <c r="X21"/>
  <c r="W21"/>
  <c r="V21"/>
  <c r="U21"/>
  <c r="T21"/>
  <c r="S21"/>
  <c r="R21"/>
  <c r="Q21"/>
  <c r="P21"/>
  <c r="O21"/>
  <c r="N21"/>
  <c r="M21"/>
  <c r="L21"/>
  <c r="K21"/>
  <c r="J21"/>
  <c r="I21"/>
  <c r="H21"/>
  <c r="G21"/>
  <c r="F21"/>
  <c r="E21"/>
  <c r="D21"/>
  <c r="Z20"/>
  <c r="Y20"/>
  <c r="X20"/>
  <c r="W20"/>
  <c r="V20"/>
  <c r="U20"/>
  <c r="T20"/>
  <c r="S20"/>
  <c r="R20"/>
  <c r="Q20"/>
  <c r="P20"/>
  <c r="O20"/>
  <c r="N20"/>
  <c r="M20"/>
  <c r="L20"/>
  <c r="K20"/>
  <c r="J20"/>
  <c r="I20"/>
  <c r="H20"/>
  <c r="G20"/>
  <c r="F20"/>
  <c r="E20"/>
  <c r="D20"/>
  <c r="Z19"/>
  <c r="Y19"/>
  <c r="X19"/>
  <c r="W19"/>
  <c r="V19"/>
  <c r="U19"/>
  <c r="T19"/>
  <c r="S19"/>
  <c r="R19"/>
  <c r="Q19"/>
  <c r="P19"/>
  <c r="O19"/>
  <c r="N19"/>
  <c r="M19"/>
  <c r="L19"/>
  <c r="K19"/>
  <c r="J19"/>
  <c r="I19"/>
  <c r="H19"/>
  <c r="G19"/>
  <c r="F19"/>
  <c r="E19"/>
  <c r="D19"/>
  <c r="Z18"/>
  <c r="Y18"/>
  <c r="X18"/>
  <c r="W18"/>
  <c r="V18"/>
  <c r="U18"/>
  <c r="T18"/>
  <c r="S18"/>
  <c r="R18"/>
  <c r="Q18"/>
  <c r="P18"/>
  <c r="O18"/>
  <c r="N18"/>
  <c r="M18"/>
  <c r="L18"/>
  <c r="K18"/>
  <c r="J18"/>
  <c r="I18"/>
  <c r="H18"/>
  <c r="G18"/>
  <c r="F18"/>
  <c r="E18"/>
  <c r="D18"/>
  <c r="Z17"/>
  <c r="Y17"/>
  <c r="X17"/>
  <c r="W17"/>
  <c r="V17"/>
  <c r="U17"/>
  <c r="T17"/>
  <c r="S17"/>
  <c r="R17"/>
  <c r="Q17"/>
  <c r="P17"/>
  <c r="O17"/>
  <c r="N17"/>
  <c r="M17"/>
  <c r="L17"/>
  <c r="K17"/>
  <c r="J17"/>
  <c r="I17"/>
  <c r="H17"/>
  <c r="G17"/>
  <c r="F17"/>
  <c r="E17"/>
  <c r="D17"/>
  <c r="Z16"/>
  <c r="Y16"/>
  <c r="X16"/>
  <c r="W16"/>
  <c r="V16"/>
  <c r="U16"/>
  <c r="T16"/>
  <c r="S16"/>
  <c r="R16"/>
  <c r="Q16"/>
  <c r="P16"/>
  <c r="O16"/>
  <c r="N16"/>
  <c r="M16"/>
  <c r="L16"/>
  <c r="K16"/>
  <c r="J16"/>
  <c r="I16"/>
  <c r="H16"/>
  <c r="G16"/>
  <c r="F16"/>
  <c r="E16"/>
  <c r="D16"/>
  <c r="Z15"/>
  <c r="Y15"/>
  <c r="X15"/>
  <c r="W15"/>
  <c r="V15"/>
  <c r="U15"/>
  <c r="T15"/>
  <c r="S15"/>
  <c r="R15"/>
  <c r="Q15"/>
  <c r="P15"/>
  <c r="O15"/>
  <c r="N15"/>
  <c r="M15"/>
  <c r="L15"/>
  <c r="K15"/>
  <c r="J15"/>
  <c r="I15"/>
  <c r="H15"/>
  <c r="G15"/>
  <c r="F15"/>
  <c r="E15"/>
  <c r="D15"/>
  <c r="Y85"/>
  <c r="Z85" s="1"/>
  <c r="Z86" s="1"/>
  <c r="X85"/>
  <c r="X86" s="1"/>
  <c r="D86"/>
  <c r="D94" s="1"/>
  <c r="D85"/>
  <c r="C95"/>
  <c r="E85"/>
  <c r="E86" s="1"/>
  <c r="G119" i="45" l="1"/>
  <c r="G203" s="1"/>
  <c r="G245" s="1"/>
  <c r="H119"/>
  <c r="H203" s="1"/>
  <c r="H245" s="1"/>
  <c r="F119"/>
  <c r="F203" s="1"/>
  <c r="F245" s="1"/>
  <c r="H189" i="47"/>
  <c r="G240"/>
  <c r="G239"/>
  <c r="H189" i="46"/>
  <c r="G240"/>
  <c r="G241"/>
  <c r="H242"/>
  <c r="R56"/>
  <c r="R57" s="1"/>
  <c r="H243" i="45"/>
  <c r="H244"/>
  <c r="I243"/>
  <c r="I244"/>
  <c r="F171" i="44"/>
  <c r="F169"/>
  <c r="F170" s="1"/>
  <c r="F125"/>
  <c r="F106"/>
  <c r="F173"/>
  <c r="F174" s="1"/>
  <c r="C22" i="40"/>
  <c r="F24" i="44" s="1"/>
  <c r="F117" s="1"/>
  <c r="F118" s="1"/>
  <c r="N53" i="40"/>
  <c r="E53"/>
  <c r="O53"/>
  <c r="L53"/>
  <c r="V53"/>
  <c r="X53"/>
  <c r="M53"/>
  <c r="I53"/>
  <c r="S53"/>
  <c r="P53"/>
  <c r="H53"/>
  <c r="D53"/>
  <c r="C53"/>
  <c r="C57"/>
  <c r="R53"/>
  <c r="W53"/>
  <c r="F53"/>
  <c r="T53"/>
  <c r="Q53"/>
  <c r="K53"/>
  <c r="Z53"/>
  <c r="J53"/>
  <c r="G53"/>
  <c r="U53"/>
  <c r="F220" i="47"/>
  <c r="F241"/>
  <c r="G220"/>
  <c r="G241"/>
  <c r="G228" i="46"/>
  <c r="G249"/>
  <c r="H183" i="44"/>
  <c r="G236"/>
  <c r="G237"/>
  <c r="H181"/>
  <c r="G216"/>
  <c r="G215"/>
  <c r="M92"/>
  <c r="G158"/>
  <c r="H187" i="45"/>
  <c r="G222"/>
  <c r="G223"/>
  <c r="R170"/>
  <c r="T170"/>
  <c r="J170"/>
  <c r="H170"/>
  <c r="G170"/>
  <c r="I172"/>
  <c r="T172"/>
  <c r="AA172"/>
  <c r="Q172"/>
  <c r="L172"/>
  <c r="S172"/>
  <c r="N170"/>
  <c r="O170"/>
  <c r="AB170"/>
  <c r="AC170"/>
  <c r="W170"/>
  <c r="Z170"/>
  <c r="Y172"/>
  <c r="G172"/>
  <c r="R172"/>
  <c r="H172"/>
  <c r="O172"/>
  <c r="J172"/>
  <c r="K170"/>
  <c r="Q170"/>
  <c r="V170"/>
  <c r="Y170"/>
  <c r="U170"/>
  <c r="M170"/>
  <c r="P172"/>
  <c r="W172"/>
  <c r="M172"/>
  <c r="X172"/>
  <c r="Z172"/>
  <c r="L170"/>
  <c r="X170"/>
  <c r="S170"/>
  <c r="P170"/>
  <c r="I170"/>
  <c r="AA170"/>
  <c r="N172"/>
  <c r="AC172"/>
  <c r="K172"/>
  <c r="V172"/>
  <c r="U172"/>
  <c r="AB172"/>
  <c r="G220" i="46"/>
  <c r="G219"/>
  <c r="K157"/>
  <c r="R157"/>
  <c r="V157"/>
  <c r="H157"/>
  <c r="W157"/>
  <c r="AC157"/>
  <c r="H170"/>
  <c r="S170"/>
  <c r="I170"/>
  <c r="P170"/>
  <c r="AA170"/>
  <c r="Z170"/>
  <c r="S159"/>
  <c r="U159"/>
  <c r="AB159"/>
  <c r="R159"/>
  <c r="M159"/>
  <c r="AC159"/>
  <c r="K172"/>
  <c r="O172"/>
  <c r="T172"/>
  <c r="Y172"/>
  <c r="AA172"/>
  <c r="AB172"/>
  <c r="H220"/>
  <c r="H219"/>
  <c r="AA157"/>
  <c r="I157"/>
  <c r="M157"/>
  <c r="X157"/>
  <c r="J157"/>
  <c r="L157"/>
  <c r="X170"/>
  <c r="N170"/>
  <c r="Y170"/>
  <c r="G170"/>
  <c r="V170"/>
  <c r="Q170"/>
  <c r="J159"/>
  <c r="G159"/>
  <c r="I159"/>
  <c r="P159"/>
  <c r="T159"/>
  <c r="J172"/>
  <c r="P172"/>
  <c r="S172"/>
  <c r="W172"/>
  <c r="Z172"/>
  <c r="I172"/>
  <c r="N157"/>
  <c r="Y157"/>
  <c r="T157"/>
  <c r="Z157"/>
  <c r="AB157"/>
  <c r="O170"/>
  <c r="L170"/>
  <c r="W170"/>
  <c r="M170"/>
  <c r="T170"/>
  <c r="Z159"/>
  <c r="H159"/>
  <c r="W159"/>
  <c r="Y159"/>
  <c r="K159"/>
  <c r="O159"/>
  <c r="L172"/>
  <c r="N172"/>
  <c r="R172"/>
  <c r="V172"/>
  <c r="H172"/>
  <c r="G172"/>
  <c r="U157"/>
  <c r="P157"/>
  <c r="O157"/>
  <c r="S157"/>
  <c r="Q157"/>
  <c r="G157"/>
  <c r="J170"/>
  <c r="U170"/>
  <c r="AB170"/>
  <c r="R170"/>
  <c r="AC170"/>
  <c r="K170"/>
  <c r="Q159"/>
  <c r="X159"/>
  <c r="N159"/>
  <c r="L159"/>
  <c r="AA159"/>
  <c r="V159"/>
  <c r="M172"/>
  <c r="Q172"/>
  <c r="U172"/>
  <c r="X172"/>
  <c r="AC172"/>
  <c r="D179" i="47"/>
  <c r="D173"/>
  <c r="F132"/>
  <c r="F176"/>
  <c r="M63" i="46"/>
  <c r="M64" s="1"/>
  <c r="H63"/>
  <c r="H64" s="1"/>
  <c r="S63"/>
  <c r="S64" s="1"/>
  <c r="F160" i="47"/>
  <c r="F158"/>
  <c r="H187"/>
  <c r="G219"/>
  <c r="G218"/>
  <c r="F180"/>
  <c r="G179"/>
  <c r="AC82"/>
  <c r="AC104" s="1"/>
  <c r="G160" i="44"/>
  <c r="G63" i="47"/>
  <c r="G64" s="1"/>
  <c r="G132"/>
  <c r="G180"/>
  <c r="G181" s="1"/>
  <c r="V63" i="46"/>
  <c r="V64" s="1"/>
  <c r="G63"/>
  <c r="G64" s="1"/>
  <c r="Q63"/>
  <c r="Q64" s="1"/>
  <c r="AD71"/>
  <c r="P63"/>
  <c r="P64" s="1"/>
  <c r="W63"/>
  <c r="W64" s="1"/>
  <c r="U63"/>
  <c r="U64" s="1"/>
  <c r="N63"/>
  <c r="N64" s="1"/>
  <c r="K63"/>
  <c r="K64" s="1"/>
  <c r="D100"/>
  <c r="V100" s="1"/>
  <c r="AC63"/>
  <c r="AC64" s="1"/>
  <c r="Z98" i="45"/>
  <c r="Z99" s="1"/>
  <c r="K56"/>
  <c r="K57" s="1"/>
  <c r="AC98"/>
  <c r="AC99" s="1"/>
  <c r="X82"/>
  <c r="X83" s="1"/>
  <c r="X84" s="1"/>
  <c r="H82"/>
  <c r="R82"/>
  <c r="R83" s="1"/>
  <c r="R84" s="1"/>
  <c r="AA56"/>
  <c r="AA57" s="1"/>
  <c r="V56"/>
  <c r="V57" s="1"/>
  <c r="AA82"/>
  <c r="AA83" s="1"/>
  <c r="AA84" s="1"/>
  <c r="AA207" s="1"/>
  <c r="K82"/>
  <c r="K104" s="1"/>
  <c r="K105" s="1"/>
  <c r="F113" i="47"/>
  <c r="F122" s="1"/>
  <c r="F206" s="1"/>
  <c r="G113"/>
  <c r="G122" s="1"/>
  <c r="G206" s="1"/>
  <c r="G217" i="44"/>
  <c r="F217"/>
  <c r="H221" i="46"/>
  <c r="F221"/>
  <c r="F224" i="45"/>
  <c r="H224"/>
  <c r="T82"/>
  <c r="T104" s="1"/>
  <c r="T105" s="1"/>
  <c r="G176"/>
  <c r="F63" i="47"/>
  <c r="F64" s="1"/>
  <c r="AA98"/>
  <c r="D177"/>
  <c r="F165"/>
  <c r="F167"/>
  <c r="G165"/>
  <c r="G167"/>
  <c r="G176" i="46"/>
  <c r="D178"/>
  <c r="T166"/>
  <c r="T201" s="1"/>
  <c r="X166"/>
  <c r="X201" s="1"/>
  <c r="H166"/>
  <c r="H201" s="1"/>
  <c r="H243" s="1"/>
  <c r="AB166"/>
  <c r="AB201" s="1"/>
  <c r="L166"/>
  <c r="L201" s="1"/>
  <c r="P166"/>
  <c r="P201" s="1"/>
  <c r="O166"/>
  <c r="O201" s="1"/>
  <c r="N166"/>
  <c r="N201" s="1"/>
  <c r="AA166"/>
  <c r="AA201" s="1"/>
  <c r="Z166"/>
  <c r="Z201" s="1"/>
  <c r="G166"/>
  <c r="G201" s="1"/>
  <c r="G243" s="1"/>
  <c r="W166"/>
  <c r="W201" s="1"/>
  <c r="V166"/>
  <c r="V201" s="1"/>
  <c r="M166"/>
  <c r="M201" s="1"/>
  <c r="AC166"/>
  <c r="AC201" s="1"/>
  <c r="J166"/>
  <c r="J201" s="1"/>
  <c r="Q166"/>
  <c r="Q201" s="1"/>
  <c r="S166"/>
  <c r="S201" s="1"/>
  <c r="R166"/>
  <c r="R201" s="1"/>
  <c r="I166"/>
  <c r="I201" s="1"/>
  <c r="Y166"/>
  <c r="Y201" s="1"/>
  <c r="U166"/>
  <c r="U201" s="1"/>
  <c r="K166"/>
  <c r="K201" s="1"/>
  <c r="F166"/>
  <c r="F201" s="1"/>
  <c r="F243" s="1"/>
  <c r="D172" i="44"/>
  <c r="F172" s="1"/>
  <c r="F160"/>
  <c r="F197" s="1"/>
  <c r="F239" s="1"/>
  <c r="D178" i="45"/>
  <c r="M166"/>
  <c r="M204" s="1"/>
  <c r="AC166"/>
  <c r="AC204" s="1"/>
  <c r="L166"/>
  <c r="L204" s="1"/>
  <c r="R166"/>
  <c r="R204" s="1"/>
  <c r="U166"/>
  <c r="U204" s="1"/>
  <c r="H166"/>
  <c r="H204" s="1"/>
  <c r="H246" s="1"/>
  <c r="X166"/>
  <c r="X204" s="1"/>
  <c r="K166"/>
  <c r="K204" s="1"/>
  <c r="AA166"/>
  <c r="AA204" s="1"/>
  <c r="J166"/>
  <c r="J204" s="1"/>
  <c r="Y166"/>
  <c r="Y204" s="1"/>
  <c r="AB166"/>
  <c r="AB204" s="1"/>
  <c r="O166"/>
  <c r="O204" s="1"/>
  <c r="F166"/>
  <c r="F204" s="1"/>
  <c r="F246" s="1"/>
  <c r="N166"/>
  <c r="N204" s="1"/>
  <c r="Q166"/>
  <c r="Q204" s="1"/>
  <c r="T166"/>
  <c r="T204" s="1"/>
  <c r="G166"/>
  <c r="G204" s="1"/>
  <c r="W166"/>
  <c r="W204" s="1"/>
  <c r="P166"/>
  <c r="P204" s="1"/>
  <c r="S166"/>
  <c r="S204" s="1"/>
  <c r="Z166"/>
  <c r="Z204" s="1"/>
  <c r="I166"/>
  <c r="I204" s="1"/>
  <c r="I246" s="1"/>
  <c r="V166"/>
  <c r="V204" s="1"/>
  <c r="D19" i="43"/>
  <c r="G29" i="47" s="1"/>
  <c r="M82"/>
  <c r="F100"/>
  <c r="G100"/>
  <c r="AD76"/>
  <c r="AD74" i="46"/>
  <c r="O63"/>
  <c r="O64" s="1"/>
  <c r="J63"/>
  <c r="J64" s="1"/>
  <c r="I63"/>
  <c r="I64" s="1"/>
  <c r="AD71" i="45"/>
  <c r="AD74"/>
  <c r="I104" i="47"/>
  <c r="V98"/>
  <c r="AD55"/>
  <c r="F98"/>
  <c r="F56"/>
  <c r="W98"/>
  <c r="T98"/>
  <c r="AC98"/>
  <c r="M98"/>
  <c r="D106"/>
  <c r="G90"/>
  <c r="G91" s="1"/>
  <c r="G204" s="1"/>
  <c r="F90"/>
  <c r="AA82"/>
  <c r="K82"/>
  <c r="X82"/>
  <c r="H82"/>
  <c r="J82"/>
  <c r="Q82"/>
  <c r="N82"/>
  <c r="J98"/>
  <c r="X98"/>
  <c r="H98"/>
  <c r="Q98"/>
  <c r="O82"/>
  <c r="AB82"/>
  <c r="L82"/>
  <c r="F82"/>
  <c r="Z82"/>
  <c r="U82"/>
  <c r="R82"/>
  <c r="N98"/>
  <c r="G98"/>
  <c r="G99" s="1"/>
  <c r="G56"/>
  <c r="G57" s="1"/>
  <c r="F181"/>
  <c r="AB98"/>
  <c r="L98"/>
  <c r="U98"/>
  <c r="S82"/>
  <c r="P82"/>
  <c r="V82"/>
  <c r="Y82"/>
  <c r="M104"/>
  <c r="R98"/>
  <c r="S98"/>
  <c r="F179"/>
  <c r="P98"/>
  <c r="Y98"/>
  <c r="I98"/>
  <c r="AD120"/>
  <c r="W82"/>
  <c r="G82"/>
  <c r="T82"/>
  <c r="I187" i="46"/>
  <c r="W104"/>
  <c r="W105" s="1"/>
  <c r="W83"/>
  <c r="W84" s="1"/>
  <c r="G104"/>
  <c r="G105" s="1"/>
  <c r="G83"/>
  <c r="G84" s="1"/>
  <c r="X98"/>
  <c r="X99" s="1"/>
  <c r="X56"/>
  <c r="X57" s="1"/>
  <c r="X204" s="1"/>
  <c r="H98"/>
  <c r="H99" s="1"/>
  <c r="H56"/>
  <c r="H57" s="1"/>
  <c r="H204" s="1"/>
  <c r="Y98"/>
  <c r="Y99" s="1"/>
  <c r="Y56"/>
  <c r="Y57" s="1"/>
  <c r="I98"/>
  <c r="I99" s="1"/>
  <c r="I56"/>
  <c r="I57" s="1"/>
  <c r="Q83"/>
  <c r="Q84" s="1"/>
  <c r="Q104"/>
  <c r="Q105" s="1"/>
  <c r="V98"/>
  <c r="V99" s="1"/>
  <c r="V56"/>
  <c r="V57" s="1"/>
  <c r="V104"/>
  <c r="V105" s="1"/>
  <c r="V83"/>
  <c r="V84" s="1"/>
  <c r="F82"/>
  <c r="AD76"/>
  <c r="W98"/>
  <c r="W99" s="1"/>
  <c r="W56"/>
  <c r="W57" s="1"/>
  <c r="G98"/>
  <c r="G99" s="1"/>
  <c r="G56"/>
  <c r="G57" s="1"/>
  <c r="F121"/>
  <c r="F207" s="1"/>
  <c r="F180"/>
  <c r="AD151"/>
  <c r="AD150"/>
  <c r="L104"/>
  <c r="L105" s="1"/>
  <c r="L83"/>
  <c r="L84" s="1"/>
  <c r="R63"/>
  <c r="R64" s="1"/>
  <c r="D90"/>
  <c r="AA104"/>
  <c r="AA105" s="1"/>
  <c r="AA83"/>
  <c r="AA84" s="1"/>
  <c r="K104"/>
  <c r="K105" s="1"/>
  <c r="K83"/>
  <c r="K84" s="1"/>
  <c r="AB56"/>
  <c r="AB57" s="1"/>
  <c r="AB98"/>
  <c r="AB99" s="1"/>
  <c r="L56"/>
  <c r="L57" s="1"/>
  <c r="L98"/>
  <c r="L99" s="1"/>
  <c r="AC98"/>
  <c r="AC99" s="1"/>
  <c r="AC56"/>
  <c r="AC57" s="1"/>
  <c r="M98"/>
  <c r="M99" s="1"/>
  <c r="M56"/>
  <c r="M57" s="1"/>
  <c r="M204" s="1"/>
  <c r="U104"/>
  <c r="U105" s="1"/>
  <c r="U83"/>
  <c r="U84" s="1"/>
  <c r="Z98"/>
  <c r="Z99" s="1"/>
  <c r="Z56"/>
  <c r="Z57" s="1"/>
  <c r="F98"/>
  <c r="AD55"/>
  <c r="F56"/>
  <c r="Z104"/>
  <c r="Z105" s="1"/>
  <c r="Z83"/>
  <c r="Z84" s="1"/>
  <c r="J104"/>
  <c r="J105" s="1"/>
  <c r="J83"/>
  <c r="J84" s="1"/>
  <c r="AA98"/>
  <c r="AA99" s="1"/>
  <c r="AA56"/>
  <c r="AA57" s="1"/>
  <c r="K98"/>
  <c r="K99" s="1"/>
  <c r="K56"/>
  <c r="K57" s="1"/>
  <c r="AC104"/>
  <c r="AC105" s="1"/>
  <c r="AC83"/>
  <c r="AC84" s="1"/>
  <c r="AA100"/>
  <c r="S100"/>
  <c r="M100"/>
  <c r="AB104"/>
  <c r="AB105" s="1"/>
  <c r="AB83"/>
  <c r="AB84" s="1"/>
  <c r="O104"/>
  <c r="O105" s="1"/>
  <c r="O83"/>
  <c r="O84" s="1"/>
  <c r="P56"/>
  <c r="P57" s="1"/>
  <c r="P98"/>
  <c r="P99" s="1"/>
  <c r="AD164"/>
  <c r="AD163"/>
  <c r="Q98"/>
  <c r="Q99" s="1"/>
  <c r="Q56"/>
  <c r="Q57" s="1"/>
  <c r="Y104"/>
  <c r="Y105" s="1"/>
  <c r="Y83"/>
  <c r="Y84" s="1"/>
  <c r="J98"/>
  <c r="J99" s="1"/>
  <c r="J56"/>
  <c r="J57" s="1"/>
  <c r="N104"/>
  <c r="N105" s="1"/>
  <c r="N83"/>
  <c r="N84" s="1"/>
  <c r="O98"/>
  <c r="O99" s="1"/>
  <c r="O56"/>
  <c r="O57" s="1"/>
  <c r="F176"/>
  <c r="P104"/>
  <c r="P105" s="1"/>
  <c r="P83"/>
  <c r="P84" s="1"/>
  <c r="T104"/>
  <c r="T105" s="1"/>
  <c r="T83"/>
  <c r="T84" s="1"/>
  <c r="AD47"/>
  <c r="AD165"/>
  <c r="S104"/>
  <c r="S105" s="1"/>
  <c r="S83"/>
  <c r="S84" s="1"/>
  <c r="T98"/>
  <c r="T99" s="1"/>
  <c r="T56"/>
  <c r="T57" s="1"/>
  <c r="U98"/>
  <c r="U99" s="1"/>
  <c r="U56"/>
  <c r="U57" s="1"/>
  <c r="I104"/>
  <c r="I105" s="1"/>
  <c r="I83"/>
  <c r="I84" s="1"/>
  <c r="N98"/>
  <c r="N99" s="1"/>
  <c r="N56"/>
  <c r="N57" s="1"/>
  <c r="R104"/>
  <c r="R105" s="1"/>
  <c r="R83"/>
  <c r="R84" s="1"/>
  <c r="R204" s="1"/>
  <c r="S98"/>
  <c r="S99" s="1"/>
  <c r="S56"/>
  <c r="S57" s="1"/>
  <c r="AD153"/>
  <c r="AD152"/>
  <c r="AD119"/>
  <c r="F63"/>
  <c r="AC104" i="45"/>
  <c r="AC105" s="1"/>
  <c r="AC83"/>
  <c r="AC84" s="1"/>
  <c r="AC207" s="1"/>
  <c r="AD165"/>
  <c r="Y56"/>
  <c r="Y57" s="1"/>
  <c r="Y98"/>
  <c r="Y99" s="1"/>
  <c r="I56"/>
  <c r="I57" s="1"/>
  <c r="I98"/>
  <c r="I99" s="1"/>
  <c r="N56"/>
  <c r="N57" s="1"/>
  <c r="N98"/>
  <c r="N99" s="1"/>
  <c r="F82"/>
  <c r="AD76"/>
  <c r="G98"/>
  <c r="G99" s="1"/>
  <c r="G56"/>
  <c r="G57" s="1"/>
  <c r="T98"/>
  <c r="T99" s="1"/>
  <c r="T56"/>
  <c r="T57" s="1"/>
  <c r="AB82"/>
  <c r="L82"/>
  <c r="V82"/>
  <c r="S82"/>
  <c r="U82"/>
  <c r="AD152"/>
  <c r="AD153"/>
  <c r="M56"/>
  <c r="M57" s="1"/>
  <c r="M98"/>
  <c r="M99" s="1"/>
  <c r="R98"/>
  <c r="R99" s="1"/>
  <c r="R56"/>
  <c r="R57" s="1"/>
  <c r="O98"/>
  <c r="O99" s="1"/>
  <c r="O56"/>
  <c r="O57" s="1"/>
  <c r="F121"/>
  <c r="F210" s="1"/>
  <c r="F180"/>
  <c r="X98"/>
  <c r="X99" s="1"/>
  <c r="X56"/>
  <c r="X57" s="1"/>
  <c r="H98"/>
  <c r="H99" s="1"/>
  <c r="H56"/>
  <c r="H57" s="1"/>
  <c r="P82"/>
  <c r="Z82"/>
  <c r="J82"/>
  <c r="W82"/>
  <c r="G82"/>
  <c r="I82"/>
  <c r="M82"/>
  <c r="Q82"/>
  <c r="J189"/>
  <c r="Q98"/>
  <c r="Q99" s="1"/>
  <c r="Q56"/>
  <c r="Q57" s="1"/>
  <c r="N104"/>
  <c r="N105" s="1"/>
  <c r="N83"/>
  <c r="N84" s="1"/>
  <c r="S98"/>
  <c r="S99" s="1"/>
  <c r="S56"/>
  <c r="S57" s="1"/>
  <c r="K83"/>
  <c r="K84" s="1"/>
  <c r="K207" s="1"/>
  <c r="AB98"/>
  <c r="AB99" s="1"/>
  <c r="AB56"/>
  <c r="AB57" s="1"/>
  <c r="L98"/>
  <c r="L99" s="1"/>
  <c r="L56"/>
  <c r="L57" s="1"/>
  <c r="D106"/>
  <c r="Z90"/>
  <c r="Z91" s="1"/>
  <c r="V90"/>
  <c r="V91" s="1"/>
  <c r="R90"/>
  <c r="R91" s="1"/>
  <c r="N90"/>
  <c r="N91" s="1"/>
  <c r="J90"/>
  <c r="J91" s="1"/>
  <c r="F90"/>
  <c r="AA90"/>
  <c r="AA91" s="1"/>
  <c r="W90"/>
  <c r="W91" s="1"/>
  <c r="S90"/>
  <c r="S91" s="1"/>
  <c r="O90"/>
  <c r="O91" s="1"/>
  <c r="K90"/>
  <c r="K91" s="1"/>
  <c r="G90"/>
  <c r="G91" s="1"/>
  <c r="AB90"/>
  <c r="AB91" s="1"/>
  <c r="X90"/>
  <c r="X91" s="1"/>
  <c r="T90"/>
  <c r="T91" s="1"/>
  <c r="P90"/>
  <c r="P91" s="1"/>
  <c r="L90"/>
  <c r="L91" s="1"/>
  <c r="H90"/>
  <c r="H91" s="1"/>
  <c r="AC90"/>
  <c r="AC91" s="1"/>
  <c r="Y90"/>
  <c r="Y91" s="1"/>
  <c r="U90"/>
  <c r="U91" s="1"/>
  <c r="Q90"/>
  <c r="Q91" s="1"/>
  <c r="M90"/>
  <c r="M91" s="1"/>
  <c r="I90"/>
  <c r="I91" s="1"/>
  <c r="Y82"/>
  <c r="AD150"/>
  <c r="AD151"/>
  <c r="AD164"/>
  <c r="AD163"/>
  <c r="H104"/>
  <c r="H105" s="1"/>
  <c r="H83"/>
  <c r="H84" s="1"/>
  <c r="U98"/>
  <c r="U99" s="1"/>
  <c r="U56"/>
  <c r="U57" s="1"/>
  <c r="F98"/>
  <c r="AD55"/>
  <c r="F56"/>
  <c r="R104"/>
  <c r="R105" s="1"/>
  <c r="W98"/>
  <c r="W99" s="1"/>
  <c r="W56"/>
  <c r="W57" s="1"/>
  <c r="F176"/>
  <c r="D100"/>
  <c r="Z63"/>
  <c r="Z64" s="1"/>
  <c r="Z208" s="1"/>
  <c r="V63"/>
  <c r="V64" s="1"/>
  <c r="V208" s="1"/>
  <c r="R63"/>
  <c r="R64" s="1"/>
  <c r="N63"/>
  <c r="N64" s="1"/>
  <c r="J63"/>
  <c r="J64" s="1"/>
  <c r="J208" s="1"/>
  <c r="J250" s="1"/>
  <c r="F63"/>
  <c r="AA63"/>
  <c r="AA64" s="1"/>
  <c r="W63"/>
  <c r="W64" s="1"/>
  <c r="S63"/>
  <c r="S64" s="1"/>
  <c r="S208" s="1"/>
  <c r="O63"/>
  <c r="O64" s="1"/>
  <c r="O208" s="1"/>
  <c r="K63"/>
  <c r="K64" s="1"/>
  <c r="G63"/>
  <c r="G64" s="1"/>
  <c r="AB63"/>
  <c r="AB64" s="1"/>
  <c r="AB208" s="1"/>
  <c r="X63"/>
  <c r="X64" s="1"/>
  <c r="X208" s="1"/>
  <c r="T63"/>
  <c r="T64" s="1"/>
  <c r="P63"/>
  <c r="P64" s="1"/>
  <c r="L63"/>
  <c r="L64" s="1"/>
  <c r="L208" s="1"/>
  <c r="H63"/>
  <c r="H64" s="1"/>
  <c r="H208" s="1"/>
  <c r="AC63"/>
  <c r="AC64" s="1"/>
  <c r="Y63"/>
  <c r="Y64" s="1"/>
  <c r="U63"/>
  <c r="U64" s="1"/>
  <c r="U208" s="1"/>
  <c r="Q63"/>
  <c r="Q64" s="1"/>
  <c r="Q208" s="1"/>
  <c r="M63"/>
  <c r="M64" s="1"/>
  <c r="I63"/>
  <c r="I64" s="1"/>
  <c r="P98"/>
  <c r="P99" s="1"/>
  <c r="P56"/>
  <c r="P57" s="1"/>
  <c r="O82"/>
  <c r="D100" i="44"/>
  <c r="F84"/>
  <c r="G84"/>
  <c r="G85" s="1"/>
  <c r="O92"/>
  <c r="Z98"/>
  <c r="F115"/>
  <c r="F203" s="1"/>
  <c r="N92"/>
  <c r="M98"/>
  <c r="D94"/>
  <c r="F57"/>
  <c r="J92"/>
  <c r="F50"/>
  <c r="AD49"/>
  <c r="F92"/>
  <c r="P98"/>
  <c r="AA98"/>
  <c r="X98"/>
  <c r="L98"/>
  <c r="I98"/>
  <c r="AA92"/>
  <c r="H92"/>
  <c r="Q98"/>
  <c r="T92"/>
  <c r="S98"/>
  <c r="P92"/>
  <c r="Q92"/>
  <c r="K92"/>
  <c r="J98"/>
  <c r="T98"/>
  <c r="AB98"/>
  <c r="O98"/>
  <c r="L92"/>
  <c r="K98"/>
  <c r="R92"/>
  <c r="W98"/>
  <c r="Y92"/>
  <c r="AC98"/>
  <c r="U92"/>
  <c r="AB92"/>
  <c r="S92"/>
  <c r="V98"/>
  <c r="N98"/>
  <c r="AD70"/>
  <c r="Y98"/>
  <c r="V92"/>
  <c r="G92"/>
  <c r="U98"/>
  <c r="X92"/>
  <c r="I92"/>
  <c r="Z92"/>
  <c r="W92"/>
  <c r="F98"/>
  <c r="F77"/>
  <c r="AD76"/>
  <c r="G98"/>
  <c r="G99" s="1"/>
  <c r="G77"/>
  <c r="G78" s="1"/>
  <c r="H98"/>
  <c r="D59" i="43"/>
  <c r="K56"/>
  <c r="K57"/>
  <c r="K53"/>
  <c r="K66" s="1"/>
  <c r="K58"/>
  <c r="K54"/>
  <c r="K55"/>
  <c r="I59"/>
  <c r="G59"/>
  <c r="V59"/>
  <c r="U59"/>
  <c r="T59"/>
  <c r="W59"/>
  <c r="C63"/>
  <c r="C59"/>
  <c r="E59"/>
  <c r="R59"/>
  <c r="Q59"/>
  <c r="P59"/>
  <c r="S59"/>
  <c r="J59"/>
  <c r="H59"/>
  <c r="N59"/>
  <c r="M59"/>
  <c r="L59"/>
  <c r="O59"/>
  <c r="F57"/>
  <c r="F53"/>
  <c r="F66" s="1"/>
  <c r="F58"/>
  <c r="F54"/>
  <c r="F55"/>
  <c r="F56"/>
  <c r="D55"/>
  <c r="D56"/>
  <c r="D57"/>
  <c r="D53"/>
  <c r="D66" s="1"/>
  <c r="D5" s="1"/>
  <c r="G10" i="47" s="1"/>
  <c r="D58" i="43"/>
  <c r="D54"/>
  <c r="G15" i="47" s="1"/>
  <c r="Z59" i="43"/>
  <c r="Y59"/>
  <c r="X59"/>
  <c r="I59" i="42"/>
  <c r="G59"/>
  <c r="V59"/>
  <c r="U59"/>
  <c r="T59"/>
  <c r="W59"/>
  <c r="K56"/>
  <c r="K57"/>
  <c r="K53"/>
  <c r="K66" s="1"/>
  <c r="K58"/>
  <c r="K54"/>
  <c r="K73" s="1"/>
  <c r="K55"/>
  <c r="E58"/>
  <c r="E54"/>
  <c r="E73" s="1"/>
  <c r="E55"/>
  <c r="E56"/>
  <c r="E57"/>
  <c r="E53"/>
  <c r="E66" s="1"/>
  <c r="C63"/>
  <c r="C59"/>
  <c r="R59"/>
  <c r="Q59"/>
  <c r="P59"/>
  <c r="S59"/>
  <c r="J59"/>
  <c r="H59"/>
  <c r="N59"/>
  <c r="M59"/>
  <c r="L59"/>
  <c r="O59"/>
  <c r="F57"/>
  <c r="F53"/>
  <c r="F66" s="1"/>
  <c r="F58"/>
  <c r="F54"/>
  <c r="F73" s="1"/>
  <c r="F55"/>
  <c r="F56"/>
  <c r="D55"/>
  <c r="D56"/>
  <c r="D57"/>
  <c r="D53"/>
  <c r="D66" s="1"/>
  <c r="D58"/>
  <c r="D54"/>
  <c r="D73" s="1"/>
  <c r="Z59"/>
  <c r="Y59"/>
  <c r="X59"/>
  <c r="U59" i="41"/>
  <c r="U56" s="1"/>
  <c r="T59"/>
  <c r="T53" s="1"/>
  <c r="T66" s="1"/>
  <c r="W59"/>
  <c r="W57" s="1"/>
  <c r="Z59"/>
  <c r="Z54" s="1"/>
  <c r="Z73" s="1"/>
  <c r="Q59"/>
  <c r="Q55" s="1"/>
  <c r="M59"/>
  <c r="M54" s="1"/>
  <c r="M73" s="1"/>
  <c r="L59"/>
  <c r="L53" s="1"/>
  <c r="L66" s="1"/>
  <c r="O59"/>
  <c r="O57" s="1"/>
  <c r="R59"/>
  <c r="R57" s="1"/>
  <c r="D59"/>
  <c r="D53" s="1"/>
  <c r="D66" s="1"/>
  <c r="Y59"/>
  <c r="X59"/>
  <c r="N59"/>
  <c r="H59"/>
  <c r="J59"/>
  <c r="U58"/>
  <c r="U54"/>
  <c r="U73" s="1"/>
  <c r="U57"/>
  <c r="U53"/>
  <c r="U66" s="1"/>
  <c r="T55"/>
  <c r="T58"/>
  <c r="T54"/>
  <c r="T73" s="1"/>
  <c r="W58"/>
  <c r="Z53"/>
  <c r="Z66" s="1"/>
  <c r="K56"/>
  <c r="K57"/>
  <c r="K53"/>
  <c r="K66" s="1"/>
  <c r="K58"/>
  <c r="K54"/>
  <c r="K73" s="1"/>
  <c r="K55"/>
  <c r="D55"/>
  <c r="F59"/>
  <c r="Q58"/>
  <c r="Q56"/>
  <c r="Q57"/>
  <c r="P59"/>
  <c r="S59"/>
  <c r="V59"/>
  <c r="I59"/>
  <c r="G59"/>
  <c r="M55"/>
  <c r="M56"/>
  <c r="L58"/>
  <c r="O53"/>
  <c r="O66" s="1"/>
  <c r="R53"/>
  <c r="R66" s="1"/>
  <c r="R58"/>
  <c r="R56"/>
  <c r="C59"/>
  <c r="E59"/>
  <c r="X92" i="32"/>
  <c r="X88"/>
  <c r="X91"/>
  <c r="X94"/>
  <c r="X90"/>
  <c r="X93"/>
  <c r="X89"/>
  <c r="Z94"/>
  <c r="Z90"/>
  <c r="Z93"/>
  <c r="Z89"/>
  <c r="Z92"/>
  <c r="Z88"/>
  <c r="Z91"/>
  <c r="Y86"/>
  <c r="E94"/>
  <c r="E93"/>
  <c r="E92"/>
  <c r="E91"/>
  <c r="E90"/>
  <c r="E89"/>
  <c r="E88"/>
  <c r="D88"/>
  <c r="D89"/>
  <c r="D90"/>
  <c r="D91"/>
  <c r="D92"/>
  <c r="D93"/>
  <c r="F85"/>
  <c r="F86" s="1"/>
  <c r="R54"/>
  <c r="Q54"/>
  <c r="P54"/>
  <c r="O54"/>
  <c r="N54"/>
  <c r="M54"/>
  <c r="L54"/>
  <c r="K54"/>
  <c r="J54"/>
  <c r="I54"/>
  <c r="H54"/>
  <c r="G54"/>
  <c r="F54"/>
  <c r="E54"/>
  <c r="AD119" i="45" l="1"/>
  <c r="G121"/>
  <c r="G210" s="1"/>
  <c r="G224"/>
  <c r="H241" i="47"/>
  <c r="H240"/>
  <c r="H239"/>
  <c r="I189"/>
  <c r="H240" i="46"/>
  <c r="H241"/>
  <c r="I189"/>
  <c r="I243"/>
  <c r="J244" i="45"/>
  <c r="J243"/>
  <c r="J246"/>
  <c r="J245"/>
  <c r="G225"/>
  <c r="G226" s="1"/>
  <c r="G246"/>
  <c r="F227" i="47"/>
  <c r="F248"/>
  <c r="X104" i="45"/>
  <c r="X105" s="1"/>
  <c r="H225" i="46"/>
  <c r="H246"/>
  <c r="F228"/>
  <c r="F249"/>
  <c r="H229" i="45"/>
  <c r="H250"/>
  <c r="F231"/>
  <c r="F252"/>
  <c r="G231"/>
  <c r="G252"/>
  <c r="G225" i="47"/>
  <c r="G246"/>
  <c r="G227"/>
  <c r="G248"/>
  <c r="I208" i="45"/>
  <c r="I250" s="1"/>
  <c r="Y208"/>
  <c r="P208"/>
  <c r="G208"/>
  <c r="W208"/>
  <c r="N208"/>
  <c r="F177" i="47"/>
  <c r="F224" i="44"/>
  <c r="F245"/>
  <c r="H237"/>
  <c r="H236"/>
  <c r="I183"/>
  <c r="H215"/>
  <c r="H216"/>
  <c r="I181"/>
  <c r="H222" i="45"/>
  <c r="H223"/>
  <c r="I187"/>
  <c r="M208"/>
  <c r="AC208"/>
  <c r="T208"/>
  <c r="K208"/>
  <c r="AA208"/>
  <c r="R208"/>
  <c r="AA104"/>
  <c r="AA105" s="1"/>
  <c r="T83"/>
  <c r="T84" s="1"/>
  <c r="T207" s="1"/>
  <c r="I219" i="46"/>
  <c r="I220"/>
  <c r="I223" s="1"/>
  <c r="I221"/>
  <c r="I222"/>
  <c r="G159" i="47"/>
  <c r="G160" s="1"/>
  <c r="G157"/>
  <c r="G158" s="1"/>
  <c r="G172"/>
  <c r="G173" s="1"/>
  <c r="G170"/>
  <c r="G171" s="1"/>
  <c r="L100" i="46"/>
  <c r="H220" i="47"/>
  <c r="H218"/>
  <c r="H219"/>
  <c r="I187"/>
  <c r="AD166" i="46"/>
  <c r="T204"/>
  <c r="U100"/>
  <c r="R100"/>
  <c r="G178"/>
  <c r="AB100"/>
  <c r="I204"/>
  <c r="Y204"/>
  <c r="Q100"/>
  <c r="G100"/>
  <c r="N100"/>
  <c r="AC100"/>
  <c r="T100"/>
  <c r="W100"/>
  <c r="Z100"/>
  <c r="Y100"/>
  <c r="P100"/>
  <c r="K100"/>
  <c r="J100"/>
  <c r="AC204"/>
  <c r="AB204"/>
  <c r="I100"/>
  <c r="H100"/>
  <c r="X100"/>
  <c r="O100"/>
  <c r="F100"/>
  <c r="F178"/>
  <c r="Z204"/>
  <c r="Q204"/>
  <c r="P204"/>
  <c r="O204"/>
  <c r="U204"/>
  <c r="AA204"/>
  <c r="V204"/>
  <c r="W204"/>
  <c r="S204"/>
  <c r="N204"/>
  <c r="K204"/>
  <c r="L204"/>
  <c r="G204"/>
  <c r="J204"/>
  <c r="G205" i="45"/>
  <c r="C86" i="24" s="1"/>
  <c r="F200" i="47"/>
  <c r="F242" s="1"/>
  <c r="G200"/>
  <c r="G242" s="1"/>
  <c r="F218" i="44"/>
  <c r="F198"/>
  <c r="B90" i="24" s="1"/>
  <c r="K202" i="46"/>
  <c r="G88" i="24" s="1"/>
  <c r="R202" i="46"/>
  <c r="N88" i="24" s="1"/>
  <c r="AC202" i="46"/>
  <c r="Y88" i="24" s="1"/>
  <c r="G222" i="46"/>
  <c r="G223" s="1"/>
  <c r="G202"/>
  <c r="C88" i="24" s="1"/>
  <c r="O202" i="46"/>
  <c r="K88" i="24" s="1"/>
  <c r="H222" i="46"/>
  <c r="H223" s="1"/>
  <c r="H202"/>
  <c r="D88" i="24" s="1"/>
  <c r="F222" i="46"/>
  <c r="F223" s="1"/>
  <c r="F202"/>
  <c r="B88" i="24" s="1"/>
  <c r="J202" i="46"/>
  <c r="F88" i="24" s="1"/>
  <c r="W202" i="46"/>
  <c r="S88" i="24" s="1"/>
  <c r="N202" i="46"/>
  <c r="J88" i="24" s="1"/>
  <c r="Y202" i="46"/>
  <c r="U88" i="24" s="1"/>
  <c r="L202" i="46"/>
  <c r="H88" i="24" s="1"/>
  <c r="T202" i="46"/>
  <c r="P88" i="24" s="1"/>
  <c r="U202" i="46"/>
  <c r="Q88" i="24" s="1"/>
  <c r="S202" i="46"/>
  <c r="O88" i="24" s="1"/>
  <c r="M202" i="46"/>
  <c r="I88" i="24" s="1"/>
  <c r="Z202" i="46"/>
  <c r="V88" i="24" s="1"/>
  <c r="P202" i="46"/>
  <c r="L88" i="24" s="1"/>
  <c r="X202" i="46"/>
  <c r="T88" i="24" s="1"/>
  <c r="I202" i="46"/>
  <c r="E88" i="24" s="1"/>
  <c r="AB202" i="46"/>
  <c r="X88" i="24" s="1"/>
  <c r="AA202" i="46"/>
  <c r="W88" i="24" s="1"/>
  <c r="V202" i="46"/>
  <c r="R88" i="24" s="1"/>
  <c r="Q202" i="46"/>
  <c r="M88" i="24" s="1"/>
  <c r="S205" i="45"/>
  <c r="O86" i="24" s="1"/>
  <c r="T205" i="45"/>
  <c r="P86" i="24" s="1"/>
  <c r="O205" i="45"/>
  <c r="K86" i="24" s="1"/>
  <c r="AA205" i="45"/>
  <c r="W86" i="24" s="1"/>
  <c r="U205" i="45"/>
  <c r="Q86" i="24" s="1"/>
  <c r="M205" i="45"/>
  <c r="I86" i="24" s="1"/>
  <c r="Z205" i="45"/>
  <c r="V86" i="24" s="1"/>
  <c r="F225" i="45"/>
  <c r="F226" s="1"/>
  <c r="F205"/>
  <c r="B86" i="24" s="1"/>
  <c r="J205" i="45"/>
  <c r="F86" i="24" s="1"/>
  <c r="H225" i="45"/>
  <c r="H205"/>
  <c r="D86" i="24" s="1"/>
  <c r="AC205" i="45"/>
  <c r="Y86" i="24" s="1"/>
  <c r="I205" i="45"/>
  <c r="E86" i="24" s="1"/>
  <c r="W205" i="45"/>
  <c r="S86" i="24" s="1"/>
  <c r="N205" i="45"/>
  <c r="J86" i="24" s="1"/>
  <c r="Y205" i="45"/>
  <c r="U86" i="24" s="1"/>
  <c r="X205" i="45"/>
  <c r="T86" i="24" s="1"/>
  <c r="L205" i="45"/>
  <c r="H86" i="24" s="1"/>
  <c r="V205" i="45"/>
  <c r="R86" i="24" s="1"/>
  <c r="P205" i="45"/>
  <c r="L86" i="24" s="1"/>
  <c r="Q205" i="45"/>
  <c r="M86" i="24" s="1"/>
  <c r="AB205" i="45"/>
  <c r="X86" i="24" s="1"/>
  <c r="K205" i="45"/>
  <c r="G86" i="24" s="1"/>
  <c r="R205" i="45"/>
  <c r="N86" i="24" s="1"/>
  <c r="H207" i="45"/>
  <c r="N207"/>
  <c r="X207"/>
  <c r="R207"/>
  <c r="AD166"/>
  <c r="G177" i="47"/>
  <c r="G178" i="45"/>
  <c r="F178"/>
  <c r="G104" i="47"/>
  <c r="G105" s="1"/>
  <c r="G83"/>
  <c r="G84" s="1"/>
  <c r="P104"/>
  <c r="O104"/>
  <c r="N104"/>
  <c r="J104"/>
  <c r="H104"/>
  <c r="F57"/>
  <c r="V104"/>
  <c r="F104"/>
  <c r="AD82"/>
  <c r="F83"/>
  <c r="Q104"/>
  <c r="AA104"/>
  <c r="T104"/>
  <c r="Y104"/>
  <c r="Z104"/>
  <c r="AB104"/>
  <c r="K104"/>
  <c r="W104"/>
  <c r="S104"/>
  <c r="R104"/>
  <c r="U104"/>
  <c r="L104"/>
  <c r="X104"/>
  <c r="F91"/>
  <c r="F106"/>
  <c r="G106"/>
  <c r="F99"/>
  <c r="AD98"/>
  <c r="F57" i="46"/>
  <c r="AD56"/>
  <c r="D106"/>
  <c r="AC90"/>
  <c r="AC91" s="1"/>
  <c r="AC205" s="1"/>
  <c r="Y90"/>
  <c r="Y91" s="1"/>
  <c r="Y205" s="1"/>
  <c r="U90"/>
  <c r="U91" s="1"/>
  <c r="U205" s="1"/>
  <c r="Q90"/>
  <c r="Q91" s="1"/>
  <c r="Q205" s="1"/>
  <c r="M90"/>
  <c r="M91" s="1"/>
  <c r="M205" s="1"/>
  <c r="I90"/>
  <c r="I91" s="1"/>
  <c r="I205" s="1"/>
  <c r="Z90"/>
  <c r="Z91" s="1"/>
  <c r="Z205" s="1"/>
  <c r="V90"/>
  <c r="V91" s="1"/>
  <c r="V205" s="1"/>
  <c r="R90"/>
  <c r="R91" s="1"/>
  <c r="R205" s="1"/>
  <c r="N90"/>
  <c r="N91" s="1"/>
  <c r="N205" s="1"/>
  <c r="J90"/>
  <c r="J91" s="1"/>
  <c r="J205" s="1"/>
  <c r="F90"/>
  <c r="AA90"/>
  <c r="AA91" s="1"/>
  <c r="AA205" s="1"/>
  <c r="W90"/>
  <c r="W91" s="1"/>
  <c r="W205" s="1"/>
  <c r="S90"/>
  <c r="S91" s="1"/>
  <c r="S205" s="1"/>
  <c r="O90"/>
  <c r="O91" s="1"/>
  <c r="O205" s="1"/>
  <c r="K90"/>
  <c r="K91" s="1"/>
  <c r="K205" s="1"/>
  <c r="G90"/>
  <c r="G91" s="1"/>
  <c r="G205" s="1"/>
  <c r="AB90"/>
  <c r="AB91" s="1"/>
  <c r="AB205" s="1"/>
  <c r="X90"/>
  <c r="X91" s="1"/>
  <c r="X205" s="1"/>
  <c r="T90"/>
  <c r="T91" s="1"/>
  <c r="T205" s="1"/>
  <c r="P90"/>
  <c r="P91" s="1"/>
  <c r="P205" s="1"/>
  <c r="L90"/>
  <c r="L91" s="1"/>
  <c r="L205" s="1"/>
  <c r="H90"/>
  <c r="H91" s="1"/>
  <c r="H205" s="1"/>
  <c r="AD98"/>
  <c r="F99"/>
  <c r="F104"/>
  <c r="AD82"/>
  <c r="F83"/>
  <c r="J187"/>
  <c r="J222" s="1"/>
  <c r="AD63"/>
  <c r="F64"/>
  <c r="AD63" i="45"/>
  <c r="F64"/>
  <c r="AD56"/>
  <c r="F57"/>
  <c r="AD90"/>
  <c r="F91"/>
  <c r="AD91" s="1"/>
  <c r="O104"/>
  <c r="O105" s="1"/>
  <c r="O83"/>
  <c r="O84" s="1"/>
  <c r="O207" s="1"/>
  <c r="K189"/>
  <c r="M104"/>
  <c r="M105" s="1"/>
  <c r="M83"/>
  <c r="M84" s="1"/>
  <c r="M207" s="1"/>
  <c r="S104"/>
  <c r="S105" s="1"/>
  <c r="S83"/>
  <c r="S84" s="1"/>
  <c r="S207" s="1"/>
  <c r="AB104"/>
  <c r="AB105" s="1"/>
  <c r="AB83"/>
  <c r="AB84" s="1"/>
  <c r="AB207" s="1"/>
  <c r="AA100"/>
  <c r="W100"/>
  <c r="S100"/>
  <c r="O100"/>
  <c r="K100"/>
  <c r="G100"/>
  <c r="AB100"/>
  <c r="X100"/>
  <c r="T100"/>
  <c r="P100"/>
  <c r="L100"/>
  <c r="H100"/>
  <c r="AC100"/>
  <c r="Y100"/>
  <c r="U100"/>
  <c r="Q100"/>
  <c r="M100"/>
  <c r="I100"/>
  <c r="Z100"/>
  <c r="J100"/>
  <c r="N100"/>
  <c r="R100"/>
  <c r="V100"/>
  <c r="F100"/>
  <c r="F99"/>
  <c r="AD98"/>
  <c r="Y104"/>
  <c r="Y105" s="1"/>
  <c r="Y83"/>
  <c r="Y84" s="1"/>
  <c r="Y207" s="1"/>
  <c r="AB106"/>
  <c r="X106"/>
  <c r="T106"/>
  <c r="P106"/>
  <c r="L106"/>
  <c r="H106"/>
  <c r="AC106"/>
  <c r="Y106"/>
  <c r="U106"/>
  <c r="Q106"/>
  <c r="M106"/>
  <c r="I106"/>
  <c r="Z106"/>
  <c r="V106"/>
  <c r="R106"/>
  <c r="N106"/>
  <c r="J106"/>
  <c r="F106"/>
  <c r="AA106"/>
  <c r="K106"/>
  <c r="O106"/>
  <c r="S106"/>
  <c r="W106"/>
  <c r="G106"/>
  <c r="Q104"/>
  <c r="Q105" s="1"/>
  <c r="Q83"/>
  <c r="Q84" s="1"/>
  <c r="Q207" s="1"/>
  <c r="W104"/>
  <c r="W105" s="1"/>
  <c r="W83"/>
  <c r="W84" s="1"/>
  <c r="W207" s="1"/>
  <c r="P104"/>
  <c r="P105" s="1"/>
  <c r="P83"/>
  <c r="P84" s="1"/>
  <c r="P207" s="1"/>
  <c r="U104"/>
  <c r="U105" s="1"/>
  <c r="U83"/>
  <c r="U84" s="1"/>
  <c r="U207" s="1"/>
  <c r="L104"/>
  <c r="L105" s="1"/>
  <c r="L83"/>
  <c r="L84" s="1"/>
  <c r="L207" s="1"/>
  <c r="AD82"/>
  <c r="F104"/>
  <c r="F83"/>
  <c r="I104"/>
  <c r="I105" s="1"/>
  <c r="I83"/>
  <c r="I84" s="1"/>
  <c r="I207" s="1"/>
  <c r="I249" s="1"/>
  <c r="G104"/>
  <c r="G105" s="1"/>
  <c r="G83"/>
  <c r="G84" s="1"/>
  <c r="G207" s="1"/>
  <c r="G249" s="1"/>
  <c r="Z83"/>
  <c r="Z84" s="1"/>
  <c r="Z207" s="1"/>
  <c r="Z104"/>
  <c r="Z105" s="1"/>
  <c r="J83"/>
  <c r="J84" s="1"/>
  <c r="J207" s="1"/>
  <c r="J249" s="1"/>
  <c r="J104"/>
  <c r="J105" s="1"/>
  <c r="V104"/>
  <c r="V105" s="1"/>
  <c r="V83"/>
  <c r="V84" s="1"/>
  <c r="V207" s="1"/>
  <c r="F93" i="44"/>
  <c r="AD92"/>
  <c r="AD98"/>
  <c r="F99"/>
  <c r="F85"/>
  <c r="F58"/>
  <c r="G100"/>
  <c r="F100"/>
  <c r="F78"/>
  <c r="F51"/>
  <c r="F94"/>
  <c r="O58" i="41"/>
  <c r="Z58"/>
  <c r="R54"/>
  <c r="R73" s="1"/>
  <c r="O54"/>
  <c r="O73" s="1"/>
  <c r="O11" s="1"/>
  <c r="Q53"/>
  <c r="Q66" s="1"/>
  <c r="Q54"/>
  <c r="Q73" s="1"/>
  <c r="Q75" s="1"/>
  <c r="Q12" s="1"/>
  <c r="Z55"/>
  <c r="U55"/>
  <c r="R55"/>
  <c r="O56"/>
  <c r="D54"/>
  <c r="D73" s="1"/>
  <c r="Z56"/>
  <c r="Z57"/>
  <c r="T56"/>
  <c r="Z57" i="43"/>
  <c r="Z53"/>
  <c r="Z66" s="1"/>
  <c r="Z58"/>
  <c r="Z54"/>
  <c r="Z55"/>
  <c r="Z56"/>
  <c r="N57"/>
  <c r="N53"/>
  <c r="N66" s="1"/>
  <c r="N58"/>
  <c r="N54"/>
  <c r="N55"/>
  <c r="N56"/>
  <c r="P55"/>
  <c r="P56"/>
  <c r="P57"/>
  <c r="P53"/>
  <c r="P66" s="1"/>
  <c r="P58"/>
  <c r="P54"/>
  <c r="C56"/>
  <c r="C57"/>
  <c r="C53"/>
  <c r="C66" s="1"/>
  <c r="C58"/>
  <c r="C54"/>
  <c r="F15" i="47" s="1"/>
  <c r="C55" i="43"/>
  <c r="U58"/>
  <c r="U54"/>
  <c r="U55"/>
  <c r="U56"/>
  <c r="U57"/>
  <c r="U53"/>
  <c r="U66" s="1"/>
  <c r="Y58"/>
  <c r="Y54"/>
  <c r="Y55"/>
  <c r="Y56"/>
  <c r="Y57"/>
  <c r="Y53"/>
  <c r="Y66" s="1"/>
  <c r="F5"/>
  <c r="I10" i="47" s="1"/>
  <c r="F68" i="43"/>
  <c r="F6" s="1"/>
  <c r="I11" i="47" s="1"/>
  <c r="F69" i="43"/>
  <c r="F7" s="1"/>
  <c r="I12" i="47" s="1"/>
  <c r="I97" s="1"/>
  <c r="I100" s="1"/>
  <c r="M58" i="43"/>
  <c r="M54"/>
  <c r="M55"/>
  <c r="M56"/>
  <c r="M57"/>
  <c r="M53"/>
  <c r="M66" s="1"/>
  <c r="S56"/>
  <c r="S57"/>
  <c r="S53"/>
  <c r="S66" s="1"/>
  <c r="S58"/>
  <c r="S54"/>
  <c r="S55"/>
  <c r="E58"/>
  <c r="E54"/>
  <c r="E55"/>
  <c r="E56"/>
  <c r="E57"/>
  <c r="E53"/>
  <c r="E66" s="1"/>
  <c r="E5" s="1"/>
  <c r="H10" i="47" s="1"/>
  <c r="T55" i="43"/>
  <c r="T56"/>
  <c r="T57"/>
  <c r="T53"/>
  <c r="T66" s="1"/>
  <c r="T58"/>
  <c r="T54"/>
  <c r="I58"/>
  <c r="I54"/>
  <c r="I55"/>
  <c r="I56"/>
  <c r="I57"/>
  <c r="I53"/>
  <c r="I66" s="1"/>
  <c r="K69"/>
  <c r="K7" s="1"/>
  <c r="N12" i="47" s="1"/>
  <c r="N97" s="1"/>
  <c r="N100" s="1"/>
  <c r="K5" i="43"/>
  <c r="N10" i="47" s="1"/>
  <c r="K68" i="43"/>
  <c r="K6" s="1"/>
  <c r="N11" i="47" s="1"/>
  <c r="X55" i="43"/>
  <c r="X56"/>
  <c r="X57"/>
  <c r="X53"/>
  <c r="X66" s="1"/>
  <c r="X58"/>
  <c r="X54"/>
  <c r="L55"/>
  <c r="L56"/>
  <c r="L57"/>
  <c r="L53"/>
  <c r="L66" s="1"/>
  <c r="L58"/>
  <c r="L54"/>
  <c r="J57"/>
  <c r="J53"/>
  <c r="J66" s="1"/>
  <c r="J58"/>
  <c r="J54"/>
  <c r="J55"/>
  <c r="J56"/>
  <c r="R57"/>
  <c r="R53"/>
  <c r="R66" s="1"/>
  <c r="R58"/>
  <c r="R54"/>
  <c r="R55"/>
  <c r="R56"/>
  <c r="W56"/>
  <c r="W57"/>
  <c r="W53"/>
  <c r="W66" s="1"/>
  <c r="W58"/>
  <c r="W54"/>
  <c r="W55"/>
  <c r="G56"/>
  <c r="G57"/>
  <c r="G53"/>
  <c r="G66" s="1"/>
  <c r="G58"/>
  <c r="G54"/>
  <c r="G55"/>
  <c r="F11"/>
  <c r="I15" i="47" s="1"/>
  <c r="F77" i="43"/>
  <c r="F12" s="1"/>
  <c r="I16" i="47" s="1"/>
  <c r="F78" i="43"/>
  <c r="F13" s="1"/>
  <c r="I17" i="47" s="1"/>
  <c r="I103" s="1"/>
  <c r="I106" s="1"/>
  <c r="O56" i="43"/>
  <c r="O57"/>
  <c r="O53"/>
  <c r="O66" s="1"/>
  <c r="O58"/>
  <c r="O54"/>
  <c r="O55"/>
  <c r="H55"/>
  <c r="H56"/>
  <c r="H57"/>
  <c r="H53"/>
  <c r="H66" s="1"/>
  <c r="H58"/>
  <c r="H54"/>
  <c r="Q58"/>
  <c r="Q54"/>
  <c r="Q55"/>
  <c r="Q56"/>
  <c r="Q57"/>
  <c r="Q53"/>
  <c r="Q66" s="1"/>
  <c r="V57"/>
  <c r="V53"/>
  <c r="V66" s="1"/>
  <c r="V58"/>
  <c r="V54"/>
  <c r="V55"/>
  <c r="V56"/>
  <c r="K78"/>
  <c r="K13" s="1"/>
  <c r="N17" i="47" s="1"/>
  <c r="N103" s="1"/>
  <c r="N106" s="1"/>
  <c r="K11" i="43"/>
  <c r="N15" i="47" s="1"/>
  <c r="K77" i="43"/>
  <c r="K12" s="1"/>
  <c r="N16" i="47" s="1"/>
  <c r="N164" s="1"/>
  <c r="F11" i="42"/>
  <c r="F75"/>
  <c r="F12" s="1"/>
  <c r="F76"/>
  <c r="F13" s="1"/>
  <c r="O56"/>
  <c r="O57"/>
  <c r="O53"/>
  <c r="O66" s="1"/>
  <c r="O58"/>
  <c r="O54"/>
  <c r="O73" s="1"/>
  <c r="O55"/>
  <c r="H55"/>
  <c r="H56"/>
  <c r="H57"/>
  <c r="H53"/>
  <c r="H66" s="1"/>
  <c r="H58"/>
  <c r="H54"/>
  <c r="H73" s="1"/>
  <c r="Q58"/>
  <c r="Q54"/>
  <c r="Q73" s="1"/>
  <c r="Q55"/>
  <c r="Q56"/>
  <c r="Q57"/>
  <c r="Q53"/>
  <c r="Q66" s="1"/>
  <c r="E68"/>
  <c r="E6" s="1"/>
  <c r="E69"/>
  <c r="E7" s="1"/>
  <c r="E5"/>
  <c r="E75"/>
  <c r="E12" s="1"/>
  <c r="E76"/>
  <c r="E13" s="1"/>
  <c r="E11"/>
  <c r="W56"/>
  <c r="W57"/>
  <c r="W53"/>
  <c r="W66" s="1"/>
  <c r="W58"/>
  <c r="W54"/>
  <c r="W73" s="1"/>
  <c r="W55"/>
  <c r="G56"/>
  <c r="G57"/>
  <c r="G53"/>
  <c r="G66" s="1"/>
  <c r="G58"/>
  <c r="G54"/>
  <c r="G73" s="1"/>
  <c r="G55"/>
  <c r="Z57"/>
  <c r="Z53"/>
  <c r="Z66" s="1"/>
  <c r="Z58"/>
  <c r="Z54"/>
  <c r="Z73" s="1"/>
  <c r="Z55"/>
  <c r="Z56"/>
  <c r="N57"/>
  <c r="N53"/>
  <c r="N66" s="1"/>
  <c r="N58"/>
  <c r="N54"/>
  <c r="N73" s="1"/>
  <c r="N55"/>
  <c r="N56"/>
  <c r="P55"/>
  <c r="P56"/>
  <c r="P57"/>
  <c r="P53"/>
  <c r="P66" s="1"/>
  <c r="P58"/>
  <c r="P54"/>
  <c r="P73" s="1"/>
  <c r="K76"/>
  <c r="K13" s="1"/>
  <c r="K11"/>
  <c r="K75"/>
  <c r="K12" s="1"/>
  <c r="V57"/>
  <c r="V53"/>
  <c r="V66" s="1"/>
  <c r="V58"/>
  <c r="V54"/>
  <c r="V73" s="1"/>
  <c r="V55"/>
  <c r="V56"/>
  <c r="Y58"/>
  <c r="Y54"/>
  <c r="Y73" s="1"/>
  <c r="Y55"/>
  <c r="Y56"/>
  <c r="Y57"/>
  <c r="Y53"/>
  <c r="Y66" s="1"/>
  <c r="F5"/>
  <c r="F68"/>
  <c r="F6" s="1"/>
  <c r="F69"/>
  <c r="F7" s="1"/>
  <c r="M58"/>
  <c r="M54"/>
  <c r="M73" s="1"/>
  <c r="M55"/>
  <c r="M56"/>
  <c r="M57"/>
  <c r="M53"/>
  <c r="M66" s="1"/>
  <c r="S56"/>
  <c r="S57"/>
  <c r="S53"/>
  <c r="S66" s="1"/>
  <c r="S58"/>
  <c r="S54"/>
  <c r="S73" s="1"/>
  <c r="S55"/>
  <c r="C56"/>
  <c r="C57"/>
  <c r="C53"/>
  <c r="C66" s="1"/>
  <c r="C58"/>
  <c r="C54"/>
  <c r="C73" s="1"/>
  <c r="C55"/>
  <c r="U58"/>
  <c r="U54"/>
  <c r="U73" s="1"/>
  <c r="U55"/>
  <c r="U56"/>
  <c r="U57"/>
  <c r="U53"/>
  <c r="U66" s="1"/>
  <c r="X55"/>
  <c r="X56"/>
  <c r="X57"/>
  <c r="X53"/>
  <c r="X66" s="1"/>
  <c r="X58"/>
  <c r="X54"/>
  <c r="X73" s="1"/>
  <c r="L55"/>
  <c r="L56"/>
  <c r="L57"/>
  <c r="L53"/>
  <c r="L66" s="1"/>
  <c r="L58"/>
  <c r="L54"/>
  <c r="L73" s="1"/>
  <c r="J57"/>
  <c r="J53"/>
  <c r="J66" s="1"/>
  <c r="J58"/>
  <c r="J54"/>
  <c r="J73" s="1"/>
  <c r="J55"/>
  <c r="J56"/>
  <c r="R57"/>
  <c r="R53"/>
  <c r="R66" s="1"/>
  <c r="R58"/>
  <c r="R54"/>
  <c r="R73" s="1"/>
  <c r="R55"/>
  <c r="R56"/>
  <c r="K69"/>
  <c r="K7" s="1"/>
  <c r="K5"/>
  <c r="K68"/>
  <c r="K6" s="1"/>
  <c r="T55"/>
  <c r="T56"/>
  <c r="T57"/>
  <c r="T53"/>
  <c r="T66" s="1"/>
  <c r="T58"/>
  <c r="T54"/>
  <c r="T73" s="1"/>
  <c r="I58"/>
  <c r="I54"/>
  <c r="I73" s="1"/>
  <c r="I55"/>
  <c r="I56"/>
  <c r="I57"/>
  <c r="I53"/>
  <c r="I66" s="1"/>
  <c r="L55" i="41"/>
  <c r="D58"/>
  <c r="L56"/>
  <c r="W53"/>
  <c r="W66" s="1"/>
  <c r="W5" s="1"/>
  <c r="L54"/>
  <c r="L73" s="1"/>
  <c r="L11" s="1"/>
  <c r="D56"/>
  <c r="L57"/>
  <c r="M57"/>
  <c r="M58"/>
  <c r="D57"/>
  <c r="W54"/>
  <c r="W73" s="1"/>
  <c r="W75" s="1"/>
  <c r="W12" s="1"/>
  <c r="W56"/>
  <c r="T57"/>
  <c r="O55"/>
  <c r="M53"/>
  <c r="M66" s="1"/>
  <c r="M68" s="1"/>
  <c r="M6" s="1"/>
  <c r="W55"/>
  <c r="O76"/>
  <c r="O13" s="1"/>
  <c r="O75"/>
  <c r="O12" s="1"/>
  <c r="S56"/>
  <c r="S57"/>
  <c r="S53"/>
  <c r="S66" s="1"/>
  <c r="S58"/>
  <c r="S54"/>
  <c r="S73" s="1"/>
  <c r="S55"/>
  <c r="F57"/>
  <c r="F53"/>
  <c r="F66" s="1"/>
  <c r="F58"/>
  <c r="F54"/>
  <c r="F73" s="1"/>
  <c r="F55"/>
  <c r="F56"/>
  <c r="K76"/>
  <c r="K13" s="1"/>
  <c r="K75"/>
  <c r="K12" s="1"/>
  <c r="K11"/>
  <c r="W76"/>
  <c r="W13" s="1"/>
  <c r="X55"/>
  <c r="X56"/>
  <c r="X57"/>
  <c r="X53"/>
  <c r="X66" s="1"/>
  <c r="X58"/>
  <c r="X54"/>
  <c r="X73" s="1"/>
  <c r="C56"/>
  <c r="C57"/>
  <c r="C53"/>
  <c r="C66" s="1"/>
  <c r="C58"/>
  <c r="C54"/>
  <c r="C73" s="1"/>
  <c r="C55"/>
  <c r="R75"/>
  <c r="R12" s="1"/>
  <c r="R11"/>
  <c r="R76"/>
  <c r="R13" s="1"/>
  <c r="L69"/>
  <c r="L7" s="1"/>
  <c r="L68"/>
  <c r="L6" s="1"/>
  <c r="L5"/>
  <c r="M75"/>
  <c r="M12" s="1"/>
  <c r="M11"/>
  <c r="M76"/>
  <c r="M13" s="1"/>
  <c r="V57"/>
  <c r="V53"/>
  <c r="V66" s="1"/>
  <c r="V58"/>
  <c r="V54"/>
  <c r="V73" s="1"/>
  <c r="V55"/>
  <c r="V56"/>
  <c r="Z75"/>
  <c r="Z12" s="1"/>
  <c r="Z11"/>
  <c r="Z76"/>
  <c r="Z13" s="1"/>
  <c r="T69"/>
  <c r="T7" s="1"/>
  <c r="T68"/>
  <c r="T6" s="1"/>
  <c r="T5"/>
  <c r="U68"/>
  <c r="U6" s="1"/>
  <c r="U5"/>
  <c r="U69"/>
  <c r="U7" s="1"/>
  <c r="U75"/>
  <c r="U12" s="1"/>
  <c r="U11"/>
  <c r="U76"/>
  <c r="U13" s="1"/>
  <c r="N57"/>
  <c r="N53"/>
  <c r="N66" s="1"/>
  <c r="N58"/>
  <c r="N54"/>
  <c r="N73" s="1"/>
  <c r="N55"/>
  <c r="N56"/>
  <c r="E58"/>
  <c r="E54"/>
  <c r="E73" s="1"/>
  <c r="E55"/>
  <c r="E56"/>
  <c r="E57"/>
  <c r="E53"/>
  <c r="E66" s="1"/>
  <c r="O69"/>
  <c r="O7" s="1"/>
  <c r="O68"/>
  <c r="O6" s="1"/>
  <c r="O5"/>
  <c r="I58"/>
  <c r="I54"/>
  <c r="I73" s="1"/>
  <c r="I55"/>
  <c r="I56"/>
  <c r="I57"/>
  <c r="I53"/>
  <c r="I66" s="1"/>
  <c r="Q68"/>
  <c r="Q6" s="1"/>
  <c r="Q5"/>
  <c r="Q69"/>
  <c r="Q7" s="1"/>
  <c r="Q11"/>
  <c r="Q76"/>
  <c r="Q13" s="1"/>
  <c r="K69"/>
  <c r="K7" s="1"/>
  <c r="K68"/>
  <c r="K6" s="1"/>
  <c r="K5"/>
  <c r="W69"/>
  <c r="W7" s="1"/>
  <c r="H55"/>
  <c r="H56"/>
  <c r="H57"/>
  <c r="H53"/>
  <c r="H66" s="1"/>
  <c r="H58"/>
  <c r="H54"/>
  <c r="H73" s="1"/>
  <c r="R68"/>
  <c r="R6" s="1"/>
  <c r="R5"/>
  <c r="R69"/>
  <c r="R7" s="1"/>
  <c r="L76"/>
  <c r="L13" s="1"/>
  <c r="G56"/>
  <c r="G57"/>
  <c r="G53"/>
  <c r="G66" s="1"/>
  <c r="G58"/>
  <c r="G54"/>
  <c r="G73" s="1"/>
  <c r="G55"/>
  <c r="P55"/>
  <c r="P56"/>
  <c r="P57"/>
  <c r="P53"/>
  <c r="P66" s="1"/>
  <c r="P58"/>
  <c r="P54"/>
  <c r="P73" s="1"/>
  <c r="Z68"/>
  <c r="Z6" s="1"/>
  <c r="Z5"/>
  <c r="Z69"/>
  <c r="Z7" s="1"/>
  <c r="T76"/>
  <c r="T13" s="1"/>
  <c r="T75"/>
  <c r="T12" s="1"/>
  <c r="T11"/>
  <c r="J57"/>
  <c r="J53"/>
  <c r="J66" s="1"/>
  <c r="J58"/>
  <c r="J54"/>
  <c r="J73" s="1"/>
  <c r="J55"/>
  <c r="J56"/>
  <c r="Y58"/>
  <c r="Y54"/>
  <c r="Y73" s="1"/>
  <c r="Y55"/>
  <c r="Y56"/>
  <c r="Y57"/>
  <c r="Y53"/>
  <c r="Y66" s="1"/>
  <c r="Y93" i="32"/>
  <c r="Y89"/>
  <c r="Y92"/>
  <c r="Y88"/>
  <c r="Y91"/>
  <c r="Y94"/>
  <c r="Y90"/>
  <c r="F94"/>
  <c r="F93"/>
  <c r="F92"/>
  <c r="F91"/>
  <c r="F90"/>
  <c r="F89"/>
  <c r="F88"/>
  <c r="A58"/>
  <c r="G85"/>
  <c r="G86" s="1"/>
  <c r="A60"/>
  <c r="A63"/>
  <c r="A59"/>
  <c r="A62"/>
  <c r="A61"/>
  <c r="H249" i="45" l="1"/>
  <c r="D207"/>
  <c r="D204" i="46"/>
  <c r="D214" s="1"/>
  <c r="D203"/>
  <c r="G109" i="47"/>
  <c r="I241"/>
  <c r="I240"/>
  <c r="I239"/>
  <c r="J189"/>
  <c r="I240" i="46"/>
  <c r="I241"/>
  <c r="I242"/>
  <c r="J189"/>
  <c r="J247"/>
  <c r="J246"/>
  <c r="K245" i="45"/>
  <c r="K244"/>
  <c r="K243"/>
  <c r="K249"/>
  <c r="H226"/>
  <c r="K250"/>
  <c r="K246"/>
  <c r="G226" i="46"/>
  <c r="G247"/>
  <c r="I226"/>
  <c r="I247"/>
  <c r="H226"/>
  <c r="H247"/>
  <c r="G225"/>
  <c r="G246"/>
  <c r="I225"/>
  <c r="I246"/>
  <c r="G229" i="45"/>
  <c r="G250"/>
  <c r="I164" i="47"/>
  <c r="I236" i="44"/>
  <c r="I237"/>
  <c r="J183"/>
  <c r="I216"/>
  <c r="I215"/>
  <c r="J181"/>
  <c r="I222" i="45"/>
  <c r="I223"/>
  <c r="I224"/>
  <c r="J187"/>
  <c r="J228" s="1"/>
  <c r="I229"/>
  <c r="I225"/>
  <c r="J225" i="46"/>
  <c r="J219"/>
  <c r="J220"/>
  <c r="J221"/>
  <c r="J226"/>
  <c r="G210"/>
  <c r="G182"/>
  <c r="N45" i="47"/>
  <c r="N157"/>
  <c r="N158" s="1"/>
  <c r="N159"/>
  <c r="N160" s="1"/>
  <c r="F170"/>
  <c r="F171" s="1"/>
  <c r="F172"/>
  <c r="F173" s="1"/>
  <c r="G183"/>
  <c r="G209"/>
  <c r="G251" s="1"/>
  <c r="N170"/>
  <c r="N171" s="1"/>
  <c r="N172"/>
  <c r="N173" s="1"/>
  <c r="I170"/>
  <c r="I171" s="1"/>
  <c r="I172"/>
  <c r="I173" s="1"/>
  <c r="I157"/>
  <c r="I158" s="1"/>
  <c r="I159"/>
  <c r="I160" s="1"/>
  <c r="G203"/>
  <c r="G108" i="45"/>
  <c r="G209" s="1"/>
  <c r="I220" i="47"/>
  <c r="I218"/>
  <c r="I219"/>
  <c r="J187"/>
  <c r="F219" i="44"/>
  <c r="AD100" i="46"/>
  <c r="J108" i="45"/>
  <c r="J209" s="1"/>
  <c r="H108"/>
  <c r="H209" s="1"/>
  <c r="L108"/>
  <c r="L209" s="1"/>
  <c r="P108"/>
  <c r="P209" s="1"/>
  <c r="Q108"/>
  <c r="Q209" s="1"/>
  <c r="AA108"/>
  <c r="AA209" s="1"/>
  <c r="R108"/>
  <c r="R209" s="1"/>
  <c r="AC108"/>
  <c r="AC209" s="1"/>
  <c r="T108"/>
  <c r="T209" s="1"/>
  <c r="X108"/>
  <c r="X209" s="1"/>
  <c r="V108"/>
  <c r="V209" s="1"/>
  <c r="I108"/>
  <c r="I209" s="1"/>
  <c r="Z108"/>
  <c r="Z209" s="1"/>
  <c r="U108"/>
  <c r="U209" s="1"/>
  <c r="G205" i="47"/>
  <c r="N47"/>
  <c r="N151"/>
  <c r="N152" s="1"/>
  <c r="N153"/>
  <c r="N154" s="1"/>
  <c r="I99"/>
  <c r="I47"/>
  <c r="I151"/>
  <c r="I152" s="1"/>
  <c r="I153"/>
  <c r="I154" s="1"/>
  <c r="N99"/>
  <c r="N105"/>
  <c r="I105"/>
  <c r="N165"/>
  <c r="N166"/>
  <c r="N167" s="1"/>
  <c r="N74"/>
  <c r="I74"/>
  <c r="I165"/>
  <c r="I166"/>
  <c r="I167" s="1"/>
  <c r="F204"/>
  <c r="G221"/>
  <c r="G222" s="1"/>
  <c r="G201"/>
  <c r="C82" i="24" s="1"/>
  <c r="F221" i="47"/>
  <c r="F201"/>
  <c r="B82" i="24" s="1"/>
  <c r="F102" i="44"/>
  <c r="F202" s="1"/>
  <c r="F201"/>
  <c r="F200"/>
  <c r="G228" i="45"/>
  <c r="I228"/>
  <c r="F208"/>
  <c r="H228"/>
  <c r="K108"/>
  <c r="K209" s="1"/>
  <c r="K251" s="1"/>
  <c r="N108"/>
  <c r="N209" s="1"/>
  <c r="Y108"/>
  <c r="Y209" s="1"/>
  <c r="AB108"/>
  <c r="AB209" s="1"/>
  <c r="M108"/>
  <c r="M209" s="1"/>
  <c r="O108"/>
  <c r="O209" s="1"/>
  <c r="W108"/>
  <c r="W209" s="1"/>
  <c r="S108"/>
  <c r="S209" s="1"/>
  <c r="AD106"/>
  <c r="F84" i="47"/>
  <c r="F105"/>
  <c r="AD104"/>
  <c r="F84" i="46"/>
  <c r="AD83"/>
  <c r="K187"/>
  <c r="AD104"/>
  <c r="F105"/>
  <c r="AD64"/>
  <c r="AD99"/>
  <c r="AD90"/>
  <c r="F91"/>
  <c r="AA106"/>
  <c r="AA108" s="1"/>
  <c r="AA206" s="1"/>
  <c r="W106"/>
  <c r="W108" s="1"/>
  <c r="W206" s="1"/>
  <c r="S106"/>
  <c r="S108" s="1"/>
  <c r="S206" s="1"/>
  <c r="O106"/>
  <c r="O108" s="1"/>
  <c r="O206" s="1"/>
  <c r="K106"/>
  <c r="K108" s="1"/>
  <c r="K206" s="1"/>
  <c r="G106"/>
  <c r="G108" s="1"/>
  <c r="G206" s="1"/>
  <c r="AB106"/>
  <c r="AB108" s="1"/>
  <c r="AB206" s="1"/>
  <c r="X106"/>
  <c r="X108" s="1"/>
  <c r="X206" s="1"/>
  <c r="T106"/>
  <c r="T108" s="1"/>
  <c r="T206" s="1"/>
  <c r="P106"/>
  <c r="P108" s="1"/>
  <c r="P206" s="1"/>
  <c r="L106"/>
  <c r="L108" s="1"/>
  <c r="L206" s="1"/>
  <c r="H106"/>
  <c r="H108" s="1"/>
  <c r="H206" s="1"/>
  <c r="AC106"/>
  <c r="AC108" s="1"/>
  <c r="AC206" s="1"/>
  <c r="Y106"/>
  <c r="Y108" s="1"/>
  <c r="Y206" s="1"/>
  <c r="U106"/>
  <c r="U108" s="1"/>
  <c r="U206" s="1"/>
  <c r="Q106"/>
  <c r="Q108" s="1"/>
  <c r="Q206" s="1"/>
  <c r="M106"/>
  <c r="M108" s="1"/>
  <c r="M206" s="1"/>
  <c r="I106"/>
  <c r="I108" s="1"/>
  <c r="I206" s="1"/>
  <c r="R106"/>
  <c r="R108" s="1"/>
  <c r="R206" s="1"/>
  <c r="V106"/>
  <c r="V108" s="1"/>
  <c r="V206" s="1"/>
  <c r="F106"/>
  <c r="Z106"/>
  <c r="Z108" s="1"/>
  <c r="Z206" s="1"/>
  <c r="J106"/>
  <c r="J108" s="1"/>
  <c r="J206" s="1"/>
  <c r="N106"/>
  <c r="N108" s="1"/>
  <c r="N206" s="1"/>
  <c r="AD57"/>
  <c r="AD83" i="45"/>
  <c r="F84"/>
  <c r="F207" s="1"/>
  <c r="F249" s="1"/>
  <c r="L189"/>
  <c r="L249" s="1"/>
  <c r="AD64"/>
  <c r="AD100"/>
  <c r="AD99"/>
  <c r="F105"/>
  <c r="AD104"/>
  <c r="AD57"/>
  <c r="L75" i="41"/>
  <c r="L12" s="1"/>
  <c r="W68"/>
  <c r="W6" s="1"/>
  <c r="W24" s="1"/>
  <c r="O78" i="43"/>
  <c r="O13" s="1"/>
  <c r="R17" i="47" s="1"/>
  <c r="R103" s="1"/>
  <c r="R106" s="1"/>
  <c r="O11" i="43"/>
  <c r="R15" i="47" s="1"/>
  <c r="O77" i="43"/>
  <c r="O12" s="1"/>
  <c r="R16" i="47" s="1"/>
  <c r="R5" i="43"/>
  <c r="U10" i="47" s="1"/>
  <c r="R68" i="43"/>
  <c r="R6" s="1"/>
  <c r="U11" i="47" s="1"/>
  <c r="R69" i="43"/>
  <c r="R7" s="1"/>
  <c r="U12" i="47" s="1"/>
  <c r="U97" s="1"/>
  <c r="L78" i="43"/>
  <c r="L13" s="1"/>
  <c r="O17" i="47" s="1"/>
  <c r="O103" s="1"/>
  <c r="O106" s="1"/>
  <c r="L11" i="43"/>
  <c r="O15" i="47" s="1"/>
  <c r="L77" i="43"/>
  <c r="L12" s="1"/>
  <c r="O16" i="47" s="1"/>
  <c r="O164" s="1"/>
  <c r="X69" i="43"/>
  <c r="X7" s="1"/>
  <c r="AA12" i="47" s="1"/>
  <c r="AA97" s="1"/>
  <c r="X5" i="43"/>
  <c r="AA10" i="47" s="1"/>
  <c r="X68" i="43"/>
  <c r="X6" s="1"/>
  <c r="AA11" i="47" s="1"/>
  <c r="K27" i="43"/>
  <c r="K26"/>
  <c r="K24"/>
  <c r="S69"/>
  <c r="S7" s="1"/>
  <c r="V12" i="47" s="1"/>
  <c r="V97" s="1"/>
  <c r="S5" i="43"/>
  <c r="V10" i="47" s="1"/>
  <c r="S68" i="43"/>
  <c r="S6" s="1"/>
  <c r="V11" i="47" s="1"/>
  <c r="Y68" i="43"/>
  <c r="Y6" s="1"/>
  <c r="AB11" i="47" s="1"/>
  <c r="Y69" i="43"/>
  <c r="Y7" s="1"/>
  <c r="AB12" i="47" s="1"/>
  <c r="AB97" s="1"/>
  <c r="Y5" i="43"/>
  <c r="AB10" i="47" s="1"/>
  <c r="Y77" i="43"/>
  <c r="Y12" s="1"/>
  <c r="AB16" i="47" s="1"/>
  <c r="Y78" i="43"/>
  <c r="Y13" s="1"/>
  <c r="AB17" i="47" s="1"/>
  <c r="AB103" s="1"/>
  <c r="AB106" s="1"/>
  <c r="Y11" i="43"/>
  <c r="AB15" i="47" s="1"/>
  <c r="P69" i="43"/>
  <c r="P7" s="1"/>
  <c r="S12" i="47" s="1"/>
  <c r="S97" s="1"/>
  <c r="P5" i="43"/>
  <c r="S10" i="47" s="1"/>
  <c r="P68" i="43"/>
  <c r="P6" s="1"/>
  <c r="S11" i="47" s="1"/>
  <c r="N5" i="43"/>
  <c r="Q10" i="47" s="1"/>
  <c r="N68" i="43"/>
  <c r="N6" s="1"/>
  <c r="Q11" i="47" s="1"/>
  <c r="N69" i="43"/>
  <c r="N7" s="1"/>
  <c r="Q12" i="47" s="1"/>
  <c r="Q97" s="1"/>
  <c r="Z11" i="43"/>
  <c r="AC15" i="47" s="1"/>
  <c r="Z77" i="43"/>
  <c r="Z12" s="1"/>
  <c r="AC16" i="47" s="1"/>
  <c r="Z78" i="43"/>
  <c r="Z13" s="1"/>
  <c r="AC17" i="47" s="1"/>
  <c r="AC103" s="1"/>
  <c r="V11" i="43"/>
  <c r="Y15" i="47" s="1"/>
  <c r="V77" i="43"/>
  <c r="V12" s="1"/>
  <c r="Y16" i="47" s="1"/>
  <c r="V78" i="43"/>
  <c r="V13" s="1"/>
  <c r="Y17" i="47" s="1"/>
  <c r="Y103" s="1"/>
  <c r="Y106" s="1"/>
  <c r="Q68" i="43"/>
  <c r="Q6" s="1"/>
  <c r="T11" i="47" s="1"/>
  <c r="Q69" i="43"/>
  <c r="Q7" s="1"/>
  <c r="T12" i="47" s="1"/>
  <c r="T97" s="1"/>
  <c r="Q5" i="43"/>
  <c r="T10" i="47" s="1"/>
  <c r="Q77" i="43"/>
  <c r="Q12" s="1"/>
  <c r="T16" i="47" s="1"/>
  <c r="Q78" i="43"/>
  <c r="Q13" s="1"/>
  <c r="T17" i="47" s="1"/>
  <c r="T103" s="1"/>
  <c r="T106" s="1"/>
  <c r="Q11" i="43"/>
  <c r="T15" i="47" s="1"/>
  <c r="H69" i="43"/>
  <c r="H7" s="1"/>
  <c r="K12" i="47" s="1"/>
  <c r="K97" s="1"/>
  <c r="H5" i="43"/>
  <c r="K10" i="47" s="1"/>
  <c r="H68" i="43"/>
  <c r="H6" s="1"/>
  <c r="K11" i="47" s="1"/>
  <c r="G69" i="43"/>
  <c r="G7" s="1"/>
  <c r="J12" i="47" s="1"/>
  <c r="J97" s="1"/>
  <c r="G5" i="43"/>
  <c r="J10" i="47" s="1"/>
  <c r="G68" i="43"/>
  <c r="G6" s="1"/>
  <c r="J11" i="47" s="1"/>
  <c r="W78" i="43"/>
  <c r="W13" s="1"/>
  <c r="Z17" i="47" s="1"/>
  <c r="Z103" s="1"/>
  <c r="Z106" s="1"/>
  <c r="W11" i="43"/>
  <c r="Z15" i="47" s="1"/>
  <c r="W77" i="43"/>
  <c r="W12" s="1"/>
  <c r="Z16" i="47" s="1"/>
  <c r="I68" i="43"/>
  <c r="I6" s="1"/>
  <c r="L11" i="47" s="1"/>
  <c r="I69" i="43"/>
  <c r="I7" s="1"/>
  <c r="L12" i="47" s="1"/>
  <c r="L97" s="1"/>
  <c r="I5" i="43"/>
  <c r="L10" i="47" s="1"/>
  <c r="I77" i="43"/>
  <c r="I12" s="1"/>
  <c r="L16" i="47" s="1"/>
  <c r="I78" i="43"/>
  <c r="I13" s="1"/>
  <c r="L17" i="47" s="1"/>
  <c r="L103" s="1"/>
  <c r="L106" s="1"/>
  <c r="I11" i="43"/>
  <c r="L15" i="47" s="1"/>
  <c r="T69" i="43"/>
  <c r="T7" s="1"/>
  <c r="W12" i="47" s="1"/>
  <c r="W97" s="1"/>
  <c r="T5" i="43"/>
  <c r="W10" i="47" s="1"/>
  <c r="T68" i="43"/>
  <c r="T6" s="1"/>
  <c r="W11" i="47" s="1"/>
  <c r="E68" i="43"/>
  <c r="E6" s="1"/>
  <c r="H11" i="47" s="1"/>
  <c r="H157" s="1"/>
  <c r="H158" s="1"/>
  <c r="E69" i="43"/>
  <c r="E7" s="1"/>
  <c r="H12" i="47" s="1"/>
  <c r="E77" i="43"/>
  <c r="E12" s="1"/>
  <c r="H16" i="47" s="1"/>
  <c r="E78" i="43"/>
  <c r="E13" s="1"/>
  <c r="H17" i="47" s="1"/>
  <c r="E11" i="43"/>
  <c r="H15" i="47" s="1"/>
  <c r="M68" i="43"/>
  <c r="M6" s="1"/>
  <c r="P11" i="47" s="1"/>
  <c r="M69" i="43"/>
  <c r="M7" s="1"/>
  <c r="P12" i="47" s="1"/>
  <c r="P97" s="1"/>
  <c r="M5" i="43"/>
  <c r="P10" i="47" s="1"/>
  <c r="M77" i="43"/>
  <c r="M12" s="1"/>
  <c r="P16" i="47" s="1"/>
  <c r="M78" i="43"/>
  <c r="M13" s="1"/>
  <c r="P17" i="47" s="1"/>
  <c r="P103" s="1"/>
  <c r="P106" s="1"/>
  <c r="M11" i="43"/>
  <c r="P15" i="47" s="1"/>
  <c r="O69" i="43"/>
  <c r="O7" s="1"/>
  <c r="R12" i="47" s="1"/>
  <c r="R97" s="1"/>
  <c r="O5" i="43"/>
  <c r="R10" i="47" s="1"/>
  <c r="O68" i="43"/>
  <c r="O6" s="1"/>
  <c r="R11" i="47" s="1"/>
  <c r="R11" i="43"/>
  <c r="U15" i="47" s="1"/>
  <c r="R77" i="43"/>
  <c r="R12" s="1"/>
  <c r="U16" i="47" s="1"/>
  <c r="R78" i="43"/>
  <c r="R13" s="1"/>
  <c r="U17" i="47" s="1"/>
  <c r="U103" s="1"/>
  <c r="U106" s="1"/>
  <c r="J5" i="43"/>
  <c r="M10" i="47" s="1"/>
  <c r="J68" i="43"/>
  <c r="J6" s="1"/>
  <c r="M11" i="47" s="1"/>
  <c r="J69" i="43"/>
  <c r="J7" s="1"/>
  <c r="M12" i="47" s="1"/>
  <c r="M97" s="1"/>
  <c r="L69" i="43"/>
  <c r="L7" s="1"/>
  <c r="O12" i="47" s="1"/>
  <c r="O97" s="1"/>
  <c r="L5" i="43"/>
  <c r="O10" i="47" s="1"/>
  <c r="L68" i="43"/>
  <c r="L6" s="1"/>
  <c r="O11" i="47" s="1"/>
  <c r="X78" i="43"/>
  <c r="X13" s="1"/>
  <c r="AA17" i="47" s="1"/>
  <c r="AA103" s="1"/>
  <c r="AA106" s="1"/>
  <c r="X11" i="43"/>
  <c r="AA15" i="47" s="1"/>
  <c r="X77" i="43"/>
  <c r="X12" s="1"/>
  <c r="AA16" i="47" s="1"/>
  <c r="S78" i="43"/>
  <c r="S13" s="1"/>
  <c r="V17" i="47" s="1"/>
  <c r="V103" s="1"/>
  <c r="V106" s="1"/>
  <c r="S11" i="43"/>
  <c r="V15" i="47" s="1"/>
  <c r="S77" i="43"/>
  <c r="S12" s="1"/>
  <c r="V16" i="47" s="1"/>
  <c r="V164" s="1"/>
  <c r="F27" i="43"/>
  <c r="F26"/>
  <c r="F24"/>
  <c r="U68"/>
  <c r="U6" s="1"/>
  <c r="X11" i="47" s="1"/>
  <c r="U69" i="43"/>
  <c r="U7" s="1"/>
  <c r="X12" i="47" s="1"/>
  <c r="X97" s="1"/>
  <c r="U5" i="43"/>
  <c r="X10" i="47" s="1"/>
  <c r="U77" i="43"/>
  <c r="U12" s="1"/>
  <c r="X16" i="47" s="1"/>
  <c r="U78" i="43"/>
  <c r="U13" s="1"/>
  <c r="X17" i="47" s="1"/>
  <c r="X103" s="1"/>
  <c r="X106" s="1"/>
  <c r="U11" i="43"/>
  <c r="X15" i="47" s="1"/>
  <c r="P78" i="43"/>
  <c r="P13" s="1"/>
  <c r="S17" i="47" s="1"/>
  <c r="S103" s="1"/>
  <c r="S106" s="1"/>
  <c r="P11" i="43"/>
  <c r="S15" i="47" s="1"/>
  <c r="P77" i="43"/>
  <c r="P12" s="1"/>
  <c r="S16" i="47" s="1"/>
  <c r="S164" s="1"/>
  <c r="N11" i="43"/>
  <c r="Q15" i="47" s="1"/>
  <c r="N77" i="43"/>
  <c r="N12" s="1"/>
  <c r="Q16" i="47" s="1"/>
  <c r="N78" i="43"/>
  <c r="N13" s="1"/>
  <c r="Q17" i="47" s="1"/>
  <c r="Q103" s="1"/>
  <c r="Q106" s="1"/>
  <c r="Z5" i="43"/>
  <c r="AC10" i="47" s="1"/>
  <c r="Z68" i="43"/>
  <c r="Z6" s="1"/>
  <c r="AC11" i="47" s="1"/>
  <c r="Z69" i="43"/>
  <c r="Z7" s="1"/>
  <c r="AC12" i="47" s="1"/>
  <c r="AC97" s="1"/>
  <c r="H78" i="43"/>
  <c r="H13" s="1"/>
  <c r="K17" i="47" s="1"/>
  <c r="K103" s="1"/>
  <c r="K106" s="1"/>
  <c r="H11" i="43"/>
  <c r="K15" i="47" s="1"/>
  <c r="H77" i="43"/>
  <c r="H12" s="1"/>
  <c r="K16" i="47" s="1"/>
  <c r="G78" i="43"/>
  <c r="G13" s="1"/>
  <c r="J17" i="47" s="1"/>
  <c r="J103" s="1"/>
  <c r="J106" s="1"/>
  <c r="G11" i="43"/>
  <c r="J15" i="47" s="1"/>
  <c r="G77" i="43"/>
  <c r="G12" s="1"/>
  <c r="J16" i="47" s="1"/>
  <c r="J164" s="1"/>
  <c r="W69" i="43"/>
  <c r="W7" s="1"/>
  <c r="Z12" i="47" s="1"/>
  <c r="Z97" s="1"/>
  <c r="W5" i="43"/>
  <c r="Z10" i="47" s="1"/>
  <c r="W68" i="43"/>
  <c r="W6" s="1"/>
  <c r="Z11" i="47" s="1"/>
  <c r="T78" i="43"/>
  <c r="T13" s="1"/>
  <c r="W17" i="47" s="1"/>
  <c r="W103" s="1"/>
  <c r="W106" s="1"/>
  <c r="T11" i="43"/>
  <c r="W15" i="47" s="1"/>
  <c r="T77" i="43"/>
  <c r="T12" s="1"/>
  <c r="W16" i="47" s="1"/>
  <c r="V5" i="43"/>
  <c r="Y10" i="47" s="1"/>
  <c r="V68" i="43"/>
  <c r="V6" s="1"/>
  <c r="Y11" i="47" s="1"/>
  <c r="V69" i="43"/>
  <c r="V7" s="1"/>
  <c r="Y12" i="47" s="1"/>
  <c r="Y97" s="1"/>
  <c r="J11" i="43"/>
  <c r="M15" i="47" s="1"/>
  <c r="J77" i="43"/>
  <c r="J12" s="1"/>
  <c r="M16" i="47" s="1"/>
  <c r="J78" i="43"/>
  <c r="J13" s="1"/>
  <c r="M17" i="47" s="1"/>
  <c r="M103" s="1"/>
  <c r="I68" i="42"/>
  <c r="I6" s="1"/>
  <c r="I69"/>
  <c r="I7" s="1"/>
  <c r="I5"/>
  <c r="T69"/>
  <c r="T7" s="1"/>
  <c r="T5"/>
  <c r="T68"/>
  <c r="T6" s="1"/>
  <c r="F27"/>
  <c r="F26"/>
  <c r="F24"/>
  <c r="V5"/>
  <c r="V68"/>
  <c r="V6" s="1"/>
  <c r="V69"/>
  <c r="V7" s="1"/>
  <c r="G76"/>
  <c r="G13" s="1"/>
  <c r="G11"/>
  <c r="G75"/>
  <c r="G12" s="1"/>
  <c r="E27"/>
  <c r="E26"/>
  <c r="E19" s="1"/>
  <c r="H30" i="46" s="1"/>
  <c r="E24" i="42"/>
  <c r="O69"/>
  <c r="O7" s="1"/>
  <c r="O5"/>
  <c r="O68"/>
  <c r="O6" s="1"/>
  <c r="R5"/>
  <c r="R68"/>
  <c r="R6" s="1"/>
  <c r="R69"/>
  <c r="R7" s="1"/>
  <c r="J11"/>
  <c r="J75"/>
  <c r="J12" s="1"/>
  <c r="J76"/>
  <c r="J13" s="1"/>
  <c r="L76"/>
  <c r="L13" s="1"/>
  <c r="L11"/>
  <c r="L75"/>
  <c r="L12" s="1"/>
  <c r="X69"/>
  <c r="X7" s="1"/>
  <c r="X5"/>
  <c r="X68"/>
  <c r="X6" s="1"/>
  <c r="U68"/>
  <c r="U6" s="1"/>
  <c r="U69"/>
  <c r="U7" s="1"/>
  <c r="U5"/>
  <c r="U75"/>
  <c r="U12" s="1"/>
  <c r="U76"/>
  <c r="U13" s="1"/>
  <c r="U11"/>
  <c r="P69"/>
  <c r="P7" s="1"/>
  <c r="P5"/>
  <c r="P68"/>
  <c r="P6" s="1"/>
  <c r="N5"/>
  <c r="N68"/>
  <c r="N6" s="1"/>
  <c r="N69"/>
  <c r="N7" s="1"/>
  <c r="Z11"/>
  <c r="Z75"/>
  <c r="Z12" s="1"/>
  <c r="Z76"/>
  <c r="Z13" s="1"/>
  <c r="H76"/>
  <c r="H13" s="1"/>
  <c r="H11"/>
  <c r="H75"/>
  <c r="H12" s="1"/>
  <c r="T76"/>
  <c r="T13" s="1"/>
  <c r="T11"/>
  <c r="T75"/>
  <c r="T12" s="1"/>
  <c r="S69"/>
  <c r="S7" s="1"/>
  <c r="S5"/>
  <c r="S68"/>
  <c r="S6" s="1"/>
  <c r="Y68"/>
  <c r="Y6" s="1"/>
  <c r="Y69"/>
  <c r="Y7" s="1"/>
  <c r="Y5"/>
  <c r="Y75"/>
  <c r="Y12" s="1"/>
  <c r="Y76"/>
  <c r="Y13" s="1"/>
  <c r="Y11"/>
  <c r="V11"/>
  <c r="V75"/>
  <c r="V12" s="1"/>
  <c r="V76"/>
  <c r="V13" s="1"/>
  <c r="G69"/>
  <c r="G7" s="1"/>
  <c r="G5"/>
  <c r="G68"/>
  <c r="G6" s="1"/>
  <c r="W76"/>
  <c r="W13" s="1"/>
  <c r="W11"/>
  <c r="W75"/>
  <c r="W12" s="1"/>
  <c r="O76"/>
  <c r="O13" s="1"/>
  <c r="O11"/>
  <c r="O75"/>
  <c r="O12" s="1"/>
  <c r="R11"/>
  <c r="R75"/>
  <c r="R12" s="1"/>
  <c r="R76"/>
  <c r="R13" s="1"/>
  <c r="J5"/>
  <c r="J68"/>
  <c r="J6" s="1"/>
  <c r="J69"/>
  <c r="J7" s="1"/>
  <c r="L69"/>
  <c r="L7" s="1"/>
  <c r="L5"/>
  <c r="L68"/>
  <c r="L6" s="1"/>
  <c r="X76"/>
  <c r="X13" s="1"/>
  <c r="X11"/>
  <c r="X75"/>
  <c r="X12" s="1"/>
  <c r="M68"/>
  <c r="M6" s="1"/>
  <c r="M69"/>
  <c r="M7" s="1"/>
  <c r="M5"/>
  <c r="M75"/>
  <c r="M12" s="1"/>
  <c r="M76"/>
  <c r="M13" s="1"/>
  <c r="M11"/>
  <c r="P76"/>
  <c r="P13" s="1"/>
  <c r="P11"/>
  <c r="P75"/>
  <c r="P12" s="1"/>
  <c r="N11"/>
  <c r="N75"/>
  <c r="N12" s="1"/>
  <c r="N76"/>
  <c r="N13" s="1"/>
  <c r="Z5"/>
  <c r="Z68"/>
  <c r="Z6" s="1"/>
  <c r="Z69"/>
  <c r="Z7" s="1"/>
  <c r="Q68"/>
  <c r="Q6" s="1"/>
  <c r="Q69"/>
  <c r="Q7" s="1"/>
  <c r="Q5"/>
  <c r="Q75"/>
  <c r="Q12" s="1"/>
  <c r="Q76"/>
  <c r="Q13" s="1"/>
  <c r="Q11"/>
  <c r="H69"/>
  <c r="H7" s="1"/>
  <c r="H5"/>
  <c r="H68"/>
  <c r="H6" s="1"/>
  <c r="I75"/>
  <c r="I12" s="1"/>
  <c r="I76"/>
  <c r="I13" s="1"/>
  <c r="I11"/>
  <c r="K27"/>
  <c r="K26"/>
  <c r="K19" s="1"/>
  <c r="N30" i="46" s="1"/>
  <c r="N115" s="1"/>
  <c r="K24" i="42"/>
  <c r="W69"/>
  <c r="W7" s="1"/>
  <c r="W5"/>
  <c r="W68"/>
  <c r="W6" s="1"/>
  <c r="S76"/>
  <c r="S13" s="1"/>
  <c r="S11"/>
  <c r="S75"/>
  <c r="S12" s="1"/>
  <c r="M5" i="41"/>
  <c r="W11"/>
  <c r="M69"/>
  <c r="M7" s="1"/>
  <c r="Y75"/>
  <c r="Y12" s="1"/>
  <c r="Y11"/>
  <c r="Y76"/>
  <c r="Y13" s="1"/>
  <c r="J75"/>
  <c r="J12" s="1"/>
  <c r="J11"/>
  <c r="J76"/>
  <c r="J13" s="1"/>
  <c r="P69"/>
  <c r="P7" s="1"/>
  <c r="P68"/>
  <c r="P6" s="1"/>
  <c r="P5"/>
  <c r="H76"/>
  <c r="H13" s="1"/>
  <c r="H75"/>
  <c r="H12" s="1"/>
  <c r="H11"/>
  <c r="U27"/>
  <c r="U26"/>
  <c r="U19" s="1"/>
  <c r="U24"/>
  <c r="L27"/>
  <c r="L26"/>
  <c r="L19" s="1"/>
  <c r="L24"/>
  <c r="S69"/>
  <c r="S7" s="1"/>
  <c r="S68"/>
  <c r="S6" s="1"/>
  <c r="S5"/>
  <c r="G69"/>
  <c r="G7" s="1"/>
  <c r="G68"/>
  <c r="G6" s="1"/>
  <c r="G5"/>
  <c r="R27"/>
  <c r="R26"/>
  <c r="R19" s="1"/>
  <c r="R24"/>
  <c r="W27"/>
  <c r="W26"/>
  <c r="W19" s="1"/>
  <c r="E68"/>
  <c r="E6" s="1"/>
  <c r="E5"/>
  <c r="E69"/>
  <c r="E7" s="1"/>
  <c r="E75"/>
  <c r="E12" s="1"/>
  <c r="E11"/>
  <c r="E76"/>
  <c r="E13" s="1"/>
  <c r="N75"/>
  <c r="N12" s="1"/>
  <c r="N11"/>
  <c r="N76"/>
  <c r="N13" s="1"/>
  <c r="V68"/>
  <c r="V6" s="1"/>
  <c r="V5"/>
  <c r="V69"/>
  <c r="V7" s="1"/>
  <c r="X76"/>
  <c r="X13" s="1"/>
  <c r="X75"/>
  <c r="X12" s="1"/>
  <c r="X11"/>
  <c r="F68"/>
  <c r="F6" s="1"/>
  <c r="F5"/>
  <c r="F69"/>
  <c r="F7" s="1"/>
  <c r="J68"/>
  <c r="J6" s="1"/>
  <c r="J5"/>
  <c r="J69"/>
  <c r="J7" s="1"/>
  <c r="P76"/>
  <c r="P13" s="1"/>
  <c r="P75"/>
  <c r="P12" s="1"/>
  <c r="P11"/>
  <c r="H69"/>
  <c r="H7" s="1"/>
  <c r="H68"/>
  <c r="H6" s="1"/>
  <c r="H5"/>
  <c r="K27"/>
  <c r="K26"/>
  <c r="K19" s="1"/>
  <c r="K24"/>
  <c r="I68"/>
  <c r="I6" s="1"/>
  <c r="I5"/>
  <c r="I69"/>
  <c r="I7" s="1"/>
  <c r="I75"/>
  <c r="I12" s="1"/>
  <c r="I11"/>
  <c r="I76"/>
  <c r="I13" s="1"/>
  <c r="T27"/>
  <c r="T26"/>
  <c r="T19" s="1"/>
  <c r="T24"/>
  <c r="M27"/>
  <c r="M26"/>
  <c r="M19" s="1"/>
  <c r="M24"/>
  <c r="S76"/>
  <c r="S13" s="1"/>
  <c r="S75"/>
  <c r="S12" s="1"/>
  <c r="S11"/>
  <c r="Z27"/>
  <c r="Z26"/>
  <c r="Z19" s="1"/>
  <c r="Z24"/>
  <c r="G76"/>
  <c r="G13" s="1"/>
  <c r="G75"/>
  <c r="G12" s="1"/>
  <c r="G11"/>
  <c r="Q27"/>
  <c r="Q26"/>
  <c r="Q19" s="1"/>
  <c r="Q24"/>
  <c r="O27"/>
  <c r="O26"/>
  <c r="O19" s="1"/>
  <c r="O24"/>
  <c r="N68"/>
  <c r="N6" s="1"/>
  <c r="N5"/>
  <c r="N69"/>
  <c r="N7" s="1"/>
  <c r="V75"/>
  <c r="V12" s="1"/>
  <c r="V11"/>
  <c r="V76"/>
  <c r="V13" s="1"/>
  <c r="X69"/>
  <c r="X7" s="1"/>
  <c r="X68"/>
  <c r="X6" s="1"/>
  <c r="X5"/>
  <c r="F75"/>
  <c r="F12" s="1"/>
  <c r="F11"/>
  <c r="F76"/>
  <c r="F13" s="1"/>
  <c r="Y68"/>
  <c r="Y6" s="1"/>
  <c r="Y5"/>
  <c r="Y69"/>
  <c r="Y7" s="1"/>
  <c r="G94" i="32"/>
  <c r="G93"/>
  <c r="G92"/>
  <c r="G91"/>
  <c r="G90"/>
  <c r="G89"/>
  <c r="G88"/>
  <c r="A64"/>
  <c r="H85"/>
  <c r="H86" s="1"/>
  <c r="D206" i="45" l="1"/>
  <c r="D217"/>
  <c r="G230" i="47"/>
  <c r="J241"/>
  <c r="J240"/>
  <c r="J239"/>
  <c r="K189"/>
  <c r="K164"/>
  <c r="AA164"/>
  <c r="AB164"/>
  <c r="Q164"/>
  <c r="H164"/>
  <c r="L164"/>
  <c r="Y164"/>
  <c r="J223" i="46"/>
  <c r="J241"/>
  <c r="J240"/>
  <c r="J242"/>
  <c r="J243"/>
  <c r="K189"/>
  <c r="L245" i="45"/>
  <c r="L244"/>
  <c r="L243"/>
  <c r="L246"/>
  <c r="L250"/>
  <c r="L251"/>
  <c r="T28" i="41"/>
  <c r="W24" i="45" s="1"/>
  <c r="W123" s="1"/>
  <c r="W124" s="1"/>
  <c r="W23"/>
  <c r="E28" i="42"/>
  <c r="H24" i="46" s="1"/>
  <c r="H23"/>
  <c r="F229" i="45"/>
  <c r="F250"/>
  <c r="I230"/>
  <c r="I251"/>
  <c r="G230"/>
  <c r="G251"/>
  <c r="G231" i="46"/>
  <c r="G252"/>
  <c r="Z28" i="41"/>
  <c r="AC24" i="45" s="1"/>
  <c r="AC123" s="1"/>
  <c r="AC124" s="1"/>
  <c r="AC23"/>
  <c r="K227" i="46"/>
  <c r="K248"/>
  <c r="J230" i="45"/>
  <c r="J251"/>
  <c r="O28" i="41"/>
  <c r="R24" i="45" s="1"/>
  <c r="R123" s="1"/>
  <c r="R124" s="1"/>
  <c r="R23"/>
  <c r="W28" i="41"/>
  <c r="Z24" i="45" s="1"/>
  <c r="Z123" s="1"/>
  <c r="Z124" s="1"/>
  <c r="Z23"/>
  <c r="L28" i="41"/>
  <c r="O24" i="45" s="1"/>
  <c r="O123" s="1"/>
  <c r="O124" s="1"/>
  <c r="O23"/>
  <c r="I227" i="46"/>
  <c r="I248"/>
  <c r="G227"/>
  <c r="G248"/>
  <c r="H230" i="45"/>
  <c r="H251"/>
  <c r="G224" i="47"/>
  <c r="G245"/>
  <c r="H227" i="46"/>
  <c r="H248"/>
  <c r="Q28" i="41"/>
  <c r="T24" i="45" s="1"/>
  <c r="T123" s="1"/>
  <c r="T124" s="1"/>
  <c r="T23"/>
  <c r="M28" i="41"/>
  <c r="P24" i="45" s="1"/>
  <c r="P123" s="1"/>
  <c r="P124" s="1"/>
  <c r="P23"/>
  <c r="K28" i="41"/>
  <c r="N24" i="45" s="1"/>
  <c r="N123" s="1"/>
  <c r="N124" s="1"/>
  <c r="N23"/>
  <c r="R28" i="41"/>
  <c r="U24" i="45" s="1"/>
  <c r="U123" s="1"/>
  <c r="U124" s="1"/>
  <c r="U23"/>
  <c r="U28" i="41"/>
  <c r="X24" i="45" s="1"/>
  <c r="X123" s="1"/>
  <c r="X124" s="1"/>
  <c r="X23"/>
  <c r="K28" i="42"/>
  <c r="N24" i="46" s="1"/>
  <c r="N123" s="1"/>
  <c r="N124" s="1"/>
  <c r="N23"/>
  <c r="F28" i="42"/>
  <c r="I24" i="46" s="1"/>
  <c r="I123" s="1"/>
  <c r="I124" s="1"/>
  <c r="I23"/>
  <c r="J227"/>
  <c r="J248"/>
  <c r="F225" i="47"/>
  <c r="F246"/>
  <c r="G226"/>
  <c r="G247"/>
  <c r="F223" i="44"/>
  <c r="F244"/>
  <c r="F222"/>
  <c r="F243"/>
  <c r="J236"/>
  <c r="J237"/>
  <c r="J238"/>
  <c r="K183"/>
  <c r="F221"/>
  <c r="F242"/>
  <c r="J215"/>
  <c r="J216"/>
  <c r="J217"/>
  <c r="K181"/>
  <c r="J223" i="45"/>
  <c r="J222"/>
  <c r="J224"/>
  <c r="K187"/>
  <c r="J229"/>
  <c r="J225"/>
  <c r="I226"/>
  <c r="K221" i="46"/>
  <c r="K219"/>
  <c r="K220"/>
  <c r="K222"/>
  <c r="AG18"/>
  <c r="K225"/>
  <c r="K226"/>
  <c r="Q170" i="47"/>
  <c r="Q171" s="1"/>
  <c r="Q172"/>
  <c r="Q173" s="1"/>
  <c r="O45"/>
  <c r="O159"/>
  <c r="O160" s="1"/>
  <c r="O157"/>
  <c r="O158" s="1"/>
  <c r="L45"/>
  <c r="L157"/>
  <c r="L158" s="1"/>
  <c r="L159"/>
  <c r="L160" s="1"/>
  <c r="Z170"/>
  <c r="Z171" s="1"/>
  <c r="Z172"/>
  <c r="Z173" s="1"/>
  <c r="T170"/>
  <c r="T171" s="1"/>
  <c r="T172"/>
  <c r="T173" s="1"/>
  <c r="Y170"/>
  <c r="Y171" s="1"/>
  <c r="Y172"/>
  <c r="Y173" s="1"/>
  <c r="S45"/>
  <c r="S159"/>
  <c r="S160" s="1"/>
  <c r="S157"/>
  <c r="S158" s="1"/>
  <c r="Z45"/>
  <c r="Z159"/>
  <c r="Z160" s="1"/>
  <c r="Z157"/>
  <c r="Z158" s="1"/>
  <c r="X45"/>
  <c r="X157"/>
  <c r="X158" s="1"/>
  <c r="X159"/>
  <c r="X160" s="1"/>
  <c r="U170"/>
  <c r="U171" s="1"/>
  <c r="U172"/>
  <c r="U173" s="1"/>
  <c r="P170"/>
  <c r="P171" s="1"/>
  <c r="P172"/>
  <c r="P173" s="1"/>
  <c r="W45"/>
  <c r="W157"/>
  <c r="W158" s="1"/>
  <c r="W159"/>
  <c r="W160" s="1"/>
  <c r="J45"/>
  <c r="J157"/>
  <c r="J158" s="1"/>
  <c r="J159"/>
  <c r="J160" s="1"/>
  <c r="T45"/>
  <c r="T159"/>
  <c r="T160" s="1"/>
  <c r="T157"/>
  <c r="T158" s="1"/>
  <c r="AC170"/>
  <c r="AC171" s="1"/>
  <c r="AC172"/>
  <c r="AC173" s="1"/>
  <c r="AA45"/>
  <c r="AA159"/>
  <c r="AA160" s="1"/>
  <c r="AA157"/>
  <c r="AA158" s="1"/>
  <c r="F183"/>
  <c r="F209"/>
  <c r="Y45"/>
  <c r="Y157"/>
  <c r="Y158" s="1"/>
  <c r="Y159"/>
  <c r="Y160" s="1"/>
  <c r="J170"/>
  <c r="J171" s="1"/>
  <c r="J172"/>
  <c r="J173" s="1"/>
  <c r="S170"/>
  <c r="S171" s="1"/>
  <c r="S172"/>
  <c r="S173" s="1"/>
  <c r="V170"/>
  <c r="V171" s="1"/>
  <c r="V172"/>
  <c r="V173" s="1"/>
  <c r="P45"/>
  <c r="P157"/>
  <c r="P158" s="1"/>
  <c r="P159"/>
  <c r="P160" s="1"/>
  <c r="K45"/>
  <c r="K157"/>
  <c r="K158" s="1"/>
  <c r="K159"/>
  <c r="K160" s="1"/>
  <c r="Q45"/>
  <c r="Q157"/>
  <c r="Q158" s="1"/>
  <c r="Q159"/>
  <c r="Q160" s="1"/>
  <c r="AB170"/>
  <c r="AB171" s="1"/>
  <c r="AB172"/>
  <c r="AB173" s="1"/>
  <c r="O170"/>
  <c r="O171" s="1"/>
  <c r="O172"/>
  <c r="O173" s="1"/>
  <c r="U45"/>
  <c r="U157"/>
  <c r="U158" s="1"/>
  <c r="U159"/>
  <c r="U160" s="1"/>
  <c r="W164"/>
  <c r="W165" s="1"/>
  <c r="Z164"/>
  <c r="Z165" s="1"/>
  <c r="R164"/>
  <c r="H159"/>
  <c r="H160" s="1"/>
  <c r="M164"/>
  <c r="M165" s="1"/>
  <c r="X164"/>
  <c r="X165" s="1"/>
  <c r="U164"/>
  <c r="T164"/>
  <c r="AC164"/>
  <c r="AC165" s="1"/>
  <c r="N109"/>
  <c r="N205" s="1"/>
  <c r="K170"/>
  <c r="K171" s="1"/>
  <c r="K172"/>
  <c r="K173" s="1"/>
  <c r="AC45"/>
  <c r="AC159"/>
  <c r="AC160" s="1"/>
  <c r="AC157"/>
  <c r="AC158" s="1"/>
  <c r="AA170"/>
  <c r="AA171" s="1"/>
  <c r="AA172"/>
  <c r="AA173" s="1"/>
  <c r="R45"/>
  <c r="R159"/>
  <c r="R160" s="1"/>
  <c r="R157"/>
  <c r="R158" s="1"/>
  <c r="H170"/>
  <c r="H171" s="1"/>
  <c r="H172"/>
  <c r="H173" s="1"/>
  <c r="L170"/>
  <c r="L171" s="1"/>
  <c r="L172"/>
  <c r="L173" s="1"/>
  <c r="AB45"/>
  <c r="AB159"/>
  <c r="AB160" s="1"/>
  <c r="AB157"/>
  <c r="AB158" s="1"/>
  <c r="V45"/>
  <c r="V159"/>
  <c r="V160" s="1"/>
  <c r="V157"/>
  <c r="V158" s="1"/>
  <c r="P164"/>
  <c r="P165" s="1"/>
  <c r="X170"/>
  <c r="X171" s="1"/>
  <c r="X172"/>
  <c r="X173" s="1"/>
  <c r="R170"/>
  <c r="R171" s="1"/>
  <c r="R172"/>
  <c r="R173" s="1"/>
  <c r="W170"/>
  <c r="W171" s="1"/>
  <c r="W172"/>
  <c r="W173" s="1"/>
  <c r="M45"/>
  <c r="M157"/>
  <c r="M158" s="1"/>
  <c r="M159"/>
  <c r="M160" s="1"/>
  <c r="M170"/>
  <c r="M171" s="1"/>
  <c r="M172"/>
  <c r="M173" s="1"/>
  <c r="J220"/>
  <c r="J219"/>
  <c r="J218"/>
  <c r="K187"/>
  <c r="I200"/>
  <c r="I242" s="1"/>
  <c r="I109"/>
  <c r="I205" s="1"/>
  <c r="Y100"/>
  <c r="Y99"/>
  <c r="Z99"/>
  <c r="Z100"/>
  <c r="AC47"/>
  <c r="AC151"/>
  <c r="AC152" s="1"/>
  <c r="AC153"/>
  <c r="AC154" s="1"/>
  <c r="X100"/>
  <c r="X99"/>
  <c r="R47"/>
  <c r="R151"/>
  <c r="R152" s="1"/>
  <c r="R153"/>
  <c r="R154" s="1"/>
  <c r="P47"/>
  <c r="P151"/>
  <c r="P152" s="1"/>
  <c r="P153"/>
  <c r="P154" s="1"/>
  <c r="H97"/>
  <c r="AD12"/>
  <c r="W100"/>
  <c r="W99"/>
  <c r="J100"/>
  <c r="J99"/>
  <c r="T100"/>
  <c r="T99"/>
  <c r="Q100"/>
  <c r="Q99"/>
  <c r="V47"/>
  <c r="V151"/>
  <c r="V152" s="1"/>
  <c r="V153"/>
  <c r="V154" s="1"/>
  <c r="AA100"/>
  <c r="AA99"/>
  <c r="U100"/>
  <c r="U99"/>
  <c r="AD10"/>
  <c r="Y47"/>
  <c r="Y151"/>
  <c r="Y152" s="1"/>
  <c r="Y153"/>
  <c r="Y154" s="1"/>
  <c r="AC100"/>
  <c r="AC99"/>
  <c r="O47"/>
  <c r="O151"/>
  <c r="O152" s="1"/>
  <c r="O153"/>
  <c r="O154" s="1"/>
  <c r="M47"/>
  <c r="M151"/>
  <c r="M152" s="1"/>
  <c r="M153"/>
  <c r="M154" s="1"/>
  <c r="P100"/>
  <c r="P99"/>
  <c r="K100"/>
  <c r="K99"/>
  <c r="S47"/>
  <c r="S153"/>
  <c r="S154" s="1"/>
  <c r="S151"/>
  <c r="S152" s="1"/>
  <c r="AB47"/>
  <c r="AB153"/>
  <c r="AB154" s="1"/>
  <c r="AB151"/>
  <c r="AB152" s="1"/>
  <c r="I63"/>
  <c r="I64" s="1"/>
  <c r="I56"/>
  <c r="I57" s="1"/>
  <c r="N63"/>
  <c r="N64" s="1"/>
  <c r="N56"/>
  <c r="N57" s="1"/>
  <c r="Z47"/>
  <c r="Z153"/>
  <c r="Z154" s="1"/>
  <c r="Z151"/>
  <c r="Z152" s="1"/>
  <c r="M100"/>
  <c r="M99"/>
  <c r="R100"/>
  <c r="R99"/>
  <c r="W47"/>
  <c r="W151"/>
  <c r="W152" s="1"/>
  <c r="W153"/>
  <c r="W154" s="1"/>
  <c r="L47"/>
  <c r="L151"/>
  <c r="L152" s="1"/>
  <c r="L153"/>
  <c r="L154" s="1"/>
  <c r="J47"/>
  <c r="J153"/>
  <c r="J154" s="1"/>
  <c r="J151"/>
  <c r="J152" s="1"/>
  <c r="AB100"/>
  <c r="AB99"/>
  <c r="V100"/>
  <c r="V99"/>
  <c r="AA47"/>
  <c r="AA151"/>
  <c r="AA152" s="1"/>
  <c r="AA153"/>
  <c r="AA154" s="1"/>
  <c r="X47"/>
  <c r="X153"/>
  <c r="X154" s="1"/>
  <c r="X151"/>
  <c r="X152" s="1"/>
  <c r="O100"/>
  <c r="O99"/>
  <c r="H47"/>
  <c r="AD11"/>
  <c r="H153"/>
  <c r="H151"/>
  <c r="L100"/>
  <c r="L99"/>
  <c r="K47"/>
  <c r="K151"/>
  <c r="K152" s="1"/>
  <c r="K153"/>
  <c r="K154" s="1"/>
  <c r="T47"/>
  <c r="T151"/>
  <c r="T152" s="1"/>
  <c r="T153"/>
  <c r="T154" s="1"/>
  <c r="Q47"/>
  <c r="Q151"/>
  <c r="Q152" s="1"/>
  <c r="Q153"/>
  <c r="Q154" s="1"/>
  <c r="S100"/>
  <c r="S99"/>
  <c r="U47"/>
  <c r="U153"/>
  <c r="U154" s="1"/>
  <c r="U151"/>
  <c r="U152" s="1"/>
  <c r="W74"/>
  <c r="W166"/>
  <c r="W167" s="1"/>
  <c r="Q74"/>
  <c r="Q165"/>
  <c r="Q166"/>
  <c r="Q167" s="1"/>
  <c r="I22"/>
  <c r="F19" i="43"/>
  <c r="H74" i="47"/>
  <c r="AD16"/>
  <c r="H166"/>
  <c r="L74"/>
  <c r="L165"/>
  <c r="L166"/>
  <c r="L167" s="1"/>
  <c r="Z74"/>
  <c r="Z166"/>
  <c r="Z167" s="1"/>
  <c r="Y74"/>
  <c r="Y165"/>
  <c r="Y166"/>
  <c r="Y167" s="1"/>
  <c r="K25" i="43"/>
  <c r="N21" i="47" s="1"/>
  <c r="N20"/>
  <c r="R165"/>
  <c r="R166"/>
  <c r="R167" s="1"/>
  <c r="R74"/>
  <c r="I83"/>
  <c r="I84" s="1"/>
  <c r="I90"/>
  <c r="I91" s="1"/>
  <c r="P105"/>
  <c r="L105"/>
  <c r="J105"/>
  <c r="W105"/>
  <c r="M74"/>
  <c r="M166"/>
  <c r="M167" s="1"/>
  <c r="X74"/>
  <c r="X166"/>
  <c r="X167" s="1"/>
  <c r="F25" i="43"/>
  <c r="I21" i="47" s="1"/>
  <c r="I20"/>
  <c r="U74"/>
  <c r="U165"/>
  <c r="U166"/>
  <c r="U167" s="1"/>
  <c r="H103"/>
  <c r="AD17"/>
  <c r="T74"/>
  <c r="T165"/>
  <c r="T166"/>
  <c r="T167" s="1"/>
  <c r="AC74"/>
  <c r="AC166"/>
  <c r="AC167" s="1"/>
  <c r="N90"/>
  <c r="N91" s="1"/>
  <c r="N83"/>
  <c r="N84" s="1"/>
  <c r="Z105"/>
  <c r="O105"/>
  <c r="U105"/>
  <c r="Y105"/>
  <c r="X105"/>
  <c r="M106"/>
  <c r="M105"/>
  <c r="J165"/>
  <c r="J74"/>
  <c r="J166"/>
  <c r="J167" s="1"/>
  <c r="S165"/>
  <c r="S166"/>
  <c r="S167" s="1"/>
  <c r="S74"/>
  <c r="V165"/>
  <c r="V74"/>
  <c r="V166"/>
  <c r="V167" s="1"/>
  <c r="P74"/>
  <c r="P166"/>
  <c r="P167" s="1"/>
  <c r="AC105"/>
  <c r="AC106"/>
  <c r="K28" i="43"/>
  <c r="N24" i="47" s="1"/>
  <c r="N124" s="1"/>
  <c r="N125" s="1"/>
  <c r="N23"/>
  <c r="O165"/>
  <c r="O74"/>
  <c r="O166"/>
  <c r="O167" s="1"/>
  <c r="AD15"/>
  <c r="V105"/>
  <c r="T105"/>
  <c r="N200"/>
  <c r="K105"/>
  <c r="Q105"/>
  <c r="R105"/>
  <c r="K165"/>
  <c r="K74"/>
  <c r="K166"/>
  <c r="K167" s="1"/>
  <c r="F28" i="43"/>
  <c r="I24" i="47" s="1"/>
  <c r="I124" s="1"/>
  <c r="I125" s="1"/>
  <c r="I23"/>
  <c r="AA165"/>
  <c r="AA74"/>
  <c r="AA166"/>
  <c r="AA167" s="1"/>
  <c r="AB74"/>
  <c r="AB165"/>
  <c r="AB166"/>
  <c r="AB167" s="1"/>
  <c r="K19" i="43"/>
  <c r="N22" i="47"/>
  <c r="AA105"/>
  <c r="AB105"/>
  <c r="S105"/>
  <c r="F222"/>
  <c r="F203"/>
  <c r="AD84" i="46"/>
  <c r="F204"/>
  <c r="AD91"/>
  <c r="F205"/>
  <c r="AD105"/>
  <c r="F108"/>
  <c r="F206" s="1"/>
  <c r="H115"/>
  <c r="F228" i="45"/>
  <c r="K230"/>
  <c r="F109" i="47"/>
  <c r="F205" s="1"/>
  <c r="AD105" i="45"/>
  <c r="F108"/>
  <c r="F209" s="1"/>
  <c r="AD84"/>
  <c r="AG18"/>
  <c r="AD106" i="46"/>
  <c r="AG19"/>
  <c r="L187"/>
  <c r="L227" s="1"/>
  <c r="M189" i="45"/>
  <c r="AG19"/>
  <c r="Z27" i="43"/>
  <c r="Z26"/>
  <c r="Z24"/>
  <c r="O27"/>
  <c r="O26"/>
  <c r="O24"/>
  <c r="M27"/>
  <c r="M26"/>
  <c r="M24"/>
  <c r="P27"/>
  <c r="P26"/>
  <c r="P24"/>
  <c r="Y27"/>
  <c r="Y26"/>
  <c r="Y24"/>
  <c r="L27"/>
  <c r="L26"/>
  <c r="L24"/>
  <c r="J27"/>
  <c r="J26"/>
  <c r="J24"/>
  <c r="T27"/>
  <c r="T26"/>
  <c r="T24"/>
  <c r="I27"/>
  <c r="I26"/>
  <c r="I24"/>
  <c r="G27"/>
  <c r="G26"/>
  <c r="G24"/>
  <c r="X27"/>
  <c r="X26"/>
  <c r="X24"/>
  <c r="W27"/>
  <c r="W26"/>
  <c r="W24"/>
  <c r="E27"/>
  <c r="E26"/>
  <c r="E24"/>
  <c r="H27"/>
  <c r="H26"/>
  <c r="H24"/>
  <c r="Q27"/>
  <c r="Q26"/>
  <c r="Q24"/>
  <c r="N27"/>
  <c r="N26"/>
  <c r="N24"/>
  <c r="R27"/>
  <c r="R26"/>
  <c r="R24"/>
  <c r="V27"/>
  <c r="V26"/>
  <c r="V24"/>
  <c r="U27"/>
  <c r="U26"/>
  <c r="U24"/>
  <c r="S27"/>
  <c r="S26"/>
  <c r="S24"/>
  <c r="Y27" i="42"/>
  <c r="Y26"/>
  <c r="Y19" s="1"/>
  <c r="AB30" i="46" s="1"/>
  <c r="AB115" s="1"/>
  <c r="Y24" i="42"/>
  <c r="P27"/>
  <c r="P26"/>
  <c r="P19" s="1"/>
  <c r="S30" i="46" s="1"/>
  <c r="S115" s="1"/>
  <c r="P24" i="42"/>
  <c r="U27"/>
  <c r="U26"/>
  <c r="U19" s="1"/>
  <c r="X30" i="46" s="1"/>
  <c r="X115" s="1"/>
  <c r="U24" i="42"/>
  <c r="T27"/>
  <c r="T26"/>
  <c r="T19" s="1"/>
  <c r="W30" i="46" s="1"/>
  <c r="W115" s="1"/>
  <c r="T24" i="42"/>
  <c r="H27"/>
  <c r="H26"/>
  <c r="H19" s="1"/>
  <c r="K30" i="46" s="1"/>
  <c r="K115" s="1"/>
  <c r="H24" i="42"/>
  <c r="Q27"/>
  <c r="Q26"/>
  <c r="Q19" s="1"/>
  <c r="T30" i="46" s="1"/>
  <c r="T115" s="1"/>
  <c r="Q24" i="42"/>
  <c r="R27"/>
  <c r="R26"/>
  <c r="R19" s="1"/>
  <c r="U30" i="46" s="1"/>
  <c r="U115" s="1"/>
  <c r="R24" i="42"/>
  <c r="V27"/>
  <c r="V26"/>
  <c r="V19" s="1"/>
  <c r="Y30" i="46" s="1"/>
  <c r="Y115" s="1"/>
  <c r="V24" i="42"/>
  <c r="W27"/>
  <c r="W26"/>
  <c r="W19" s="1"/>
  <c r="Z30" i="46" s="1"/>
  <c r="Z115" s="1"/>
  <c r="W24" i="42"/>
  <c r="M27"/>
  <c r="M26"/>
  <c r="M19" s="1"/>
  <c r="P30" i="46" s="1"/>
  <c r="P115" s="1"/>
  <c r="M24" i="42"/>
  <c r="L27"/>
  <c r="L26"/>
  <c r="L19" s="1"/>
  <c r="O30" i="46" s="1"/>
  <c r="O115" s="1"/>
  <c r="L24" i="42"/>
  <c r="J27"/>
  <c r="J26"/>
  <c r="J19" s="1"/>
  <c r="M30" i="46" s="1"/>
  <c r="M115" s="1"/>
  <c r="J24" i="42"/>
  <c r="N27"/>
  <c r="N26"/>
  <c r="N19" s="1"/>
  <c r="Q30" i="46" s="1"/>
  <c r="Q115" s="1"/>
  <c r="N24" i="42"/>
  <c r="Z27"/>
  <c r="Z26"/>
  <c r="Z19" s="1"/>
  <c r="AC30" i="46" s="1"/>
  <c r="AC115" s="1"/>
  <c r="Z24" i="42"/>
  <c r="G27"/>
  <c r="G26"/>
  <c r="G19" s="1"/>
  <c r="J30" i="46" s="1"/>
  <c r="J115" s="1"/>
  <c r="G24" i="42"/>
  <c r="S27"/>
  <c r="S26"/>
  <c r="S19" s="1"/>
  <c r="V30" i="46" s="1"/>
  <c r="V115" s="1"/>
  <c r="S24" i="42"/>
  <c r="X27"/>
  <c r="X26"/>
  <c r="X19" s="1"/>
  <c r="AA30" i="46" s="1"/>
  <c r="AA115" s="1"/>
  <c r="X24" i="42"/>
  <c r="O27"/>
  <c r="O26"/>
  <c r="O19" s="1"/>
  <c r="R30" i="46" s="1"/>
  <c r="R115" s="1"/>
  <c r="O24" i="42"/>
  <c r="I27"/>
  <c r="I26"/>
  <c r="I19" s="1"/>
  <c r="L30" i="46" s="1"/>
  <c r="L115" s="1"/>
  <c r="I24" i="42"/>
  <c r="F27" i="41"/>
  <c r="F26"/>
  <c r="F24"/>
  <c r="X27"/>
  <c r="X26"/>
  <c r="X19" s="1"/>
  <c r="X24"/>
  <c r="E27"/>
  <c r="E26"/>
  <c r="E19" s="1"/>
  <c r="E24"/>
  <c r="G27"/>
  <c r="G26"/>
  <c r="G19" s="1"/>
  <c r="G24"/>
  <c r="Y27"/>
  <c r="Y26"/>
  <c r="Y19" s="1"/>
  <c r="Y24"/>
  <c r="N27"/>
  <c r="N26"/>
  <c r="N19" s="1"/>
  <c r="N24"/>
  <c r="H27"/>
  <c r="H26"/>
  <c r="H19" s="1"/>
  <c r="H24"/>
  <c r="V27"/>
  <c r="V26"/>
  <c r="V19" s="1"/>
  <c r="V24"/>
  <c r="S27"/>
  <c r="S26"/>
  <c r="S19" s="1"/>
  <c r="S24"/>
  <c r="P27"/>
  <c r="P26"/>
  <c r="P19" s="1"/>
  <c r="P24"/>
  <c r="I27"/>
  <c r="I26"/>
  <c r="I19" s="1"/>
  <c r="I24"/>
  <c r="J27"/>
  <c r="J26"/>
  <c r="J19" s="1"/>
  <c r="J24"/>
  <c r="H94" i="32"/>
  <c r="H93"/>
  <c r="H92"/>
  <c r="H91"/>
  <c r="H90"/>
  <c r="H89"/>
  <c r="H88"/>
  <c r="I85"/>
  <c r="I86" s="1"/>
  <c r="K49"/>
  <c r="I44"/>
  <c r="I45" s="1"/>
  <c r="H44"/>
  <c r="H45" s="1"/>
  <c r="E44"/>
  <c r="E45" s="1"/>
  <c r="D44"/>
  <c r="D45" s="1"/>
  <c r="V24"/>
  <c r="Z24"/>
  <c r="Y24"/>
  <c r="X24"/>
  <c r="W24"/>
  <c r="U24"/>
  <c r="T24"/>
  <c r="S24"/>
  <c r="R24"/>
  <c r="Q24"/>
  <c r="P24"/>
  <c r="O24"/>
  <c r="N24"/>
  <c r="M24"/>
  <c r="L24"/>
  <c r="K24"/>
  <c r="J24"/>
  <c r="I24"/>
  <c r="H24"/>
  <c r="G24"/>
  <c r="F24"/>
  <c r="E24"/>
  <c r="D24"/>
  <c r="C24"/>
  <c r="E32"/>
  <c r="D32"/>
  <c r="C32"/>
  <c r="AC159" i="35"/>
  <c r="AB159"/>
  <c r="AA159"/>
  <c r="Z159"/>
  <c r="Y159"/>
  <c r="X159"/>
  <c r="V159"/>
  <c r="U159"/>
  <c r="T159"/>
  <c r="S159"/>
  <c r="R159"/>
  <c r="Q159"/>
  <c r="P159"/>
  <c r="N159"/>
  <c r="L159"/>
  <c r="K159"/>
  <c r="J159"/>
  <c r="AC106"/>
  <c r="AB106"/>
  <c r="AA106"/>
  <c r="Z106"/>
  <c r="Y106"/>
  <c r="X106"/>
  <c r="V106"/>
  <c r="U106"/>
  <c r="T106"/>
  <c r="S106"/>
  <c r="Q106"/>
  <c r="P106"/>
  <c r="O106"/>
  <c r="N106"/>
  <c r="M106"/>
  <c r="L106"/>
  <c r="J106"/>
  <c r="I106"/>
  <c r="AC105"/>
  <c r="AB105"/>
  <c r="AA105"/>
  <c r="Z105"/>
  <c r="Y105"/>
  <c r="W105"/>
  <c r="V105"/>
  <c r="U105"/>
  <c r="T105"/>
  <c r="S105"/>
  <c r="R105"/>
  <c r="P105"/>
  <c r="O105"/>
  <c r="M105"/>
  <c r="L105"/>
  <c r="K105"/>
  <c r="J105"/>
  <c r="I105"/>
  <c r="AB104"/>
  <c r="AA104"/>
  <c r="Z104"/>
  <c r="Y104"/>
  <c r="W104"/>
  <c r="V104"/>
  <c r="U104"/>
  <c r="T104"/>
  <c r="S104"/>
  <c r="R104"/>
  <c r="Q104"/>
  <c r="P104"/>
  <c r="O104"/>
  <c r="N104"/>
  <c r="M104"/>
  <c r="L104"/>
  <c r="K104"/>
  <c r="J104"/>
  <c r="I104"/>
  <c r="AC103"/>
  <c r="AB103"/>
  <c r="AA103"/>
  <c r="Z103"/>
  <c r="X103"/>
  <c r="W103"/>
  <c r="V103"/>
  <c r="U103"/>
  <c r="T103"/>
  <c r="S103"/>
  <c r="R103"/>
  <c r="Q103"/>
  <c r="P103"/>
  <c r="O103"/>
  <c r="N103"/>
  <c r="L103"/>
  <c r="K103"/>
  <c r="J103"/>
  <c r="Z32" i="32"/>
  <c r="Y32"/>
  <c r="X32"/>
  <c r="W32"/>
  <c r="V32"/>
  <c r="U32"/>
  <c r="T32"/>
  <c r="S32"/>
  <c r="R32"/>
  <c r="Q32"/>
  <c r="P32"/>
  <c r="O32"/>
  <c r="N32"/>
  <c r="M32"/>
  <c r="L32"/>
  <c r="K32"/>
  <c r="J32"/>
  <c r="I32"/>
  <c r="H32"/>
  <c r="G32"/>
  <c r="F32"/>
  <c r="AD253" i="35"/>
  <c r="F251"/>
  <c r="F249"/>
  <c r="AF248"/>
  <c r="AG248" s="1"/>
  <c r="AH248" s="1"/>
  <c r="AI248" s="1"/>
  <c r="AJ248" s="1"/>
  <c r="AK248" s="1"/>
  <c r="AL248" s="1"/>
  <c r="AM248" s="1"/>
  <c r="AN248" s="1"/>
  <c r="AO248" s="1"/>
  <c r="AP248" s="1"/>
  <c r="AQ248" s="1"/>
  <c r="AR248" s="1"/>
  <c r="AS248" s="1"/>
  <c r="AT248" s="1"/>
  <c r="AU248" s="1"/>
  <c r="AV248" s="1"/>
  <c r="AW248" s="1"/>
  <c r="AX248" s="1"/>
  <c r="AD247"/>
  <c r="AD246"/>
  <c r="AD245"/>
  <c r="AD243"/>
  <c r="D242"/>
  <c r="D241"/>
  <c r="D239"/>
  <c r="D237"/>
  <c r="AD236"/>
  <c r="AD235"/>
  <c r="D227"/>
  <c r="D225"/>
  <c r="AD224"/>
  <c r="AD216"/>
  <c r="D215"/>
  <c r="D214"/>
  <c r="D213"/>
  <c r="D212"/>
  <c r="AD211"/>
  <c r="AD230"/>
  <c r="AD210"/>
  <c r="AD209"/>
  <c r="AD208"/>
  <c r="AD207"/>
  <c r="AD205"/>
  <c r="AD204"/>
  <c r="D204"/>
  <c r="AD203"/>
  <c r="AD202"/>
  <c r="AD196"/>
  <c r="AD191"/>
  <c r="AD190"/>
  <c r="AD189"/>
  <c r="AD188"/>
  <c r="AD187"/>
  <c r="AD184"/>
  <c r="AD182"/>
  <c r="AD180"/>
  <c r="G181"/>
  <c r="G263" s="1"/>
  <c r="AD179"/>
  <c r="AD178"/>
  <c r="AD176"/>
  <c r="AD175"/>
  <c r="AD173"/>
  <c r="AD172"/>
  <c r="AD171"/>
  <c r="AD169"/>
  <c r="AD168"/>
  <c r="H164"/>
  <c r="G164"/>
  <c r="F164"/>
  <c r="AD163"/>
  <c r="H159"/>
  <c r="G159"/>
  <c r="F159"/>
  <c r="AD158"/>
  <c r="G154"/>
  <c r="F154"/>
  <c r="AD153"/>
  <c r="AD152"/>
  <c r="G148"/>
  <c r="F148"/>
  <c r="AD147"/>
  <c r="AD146"/>
  <c r="AD145"/>
  <c r="AD144"/>
  <c r="AD143"/>
  <c r="AD142"/>
  <c r="AD141"/>
  <c r="AD134"/>
  <c r="D134"/>
  <c r="AD133"/>
  <c r="D133"/>
  <c r="AD132"/>
  <c r="D132"/>
  <c r="D137" s="1"/>
  <c r="AD131"/>
  <c r="AD130"/>
  <c r="AD129"/>
  <c r="AD128"/>
  <c r="D127"/>
  <c r="AD124"/>
  <c r="D124"/>
  <c r="AD123"/>
  <c r="D123"/>
  <c r="AD117"/>
  <c r="D117"/>
  <c r="AD116"/>
  <c r="AD115"/>
  <c r="AD114"/>
  <c r="AD113"/>
  <c r="D113"/>
  <c r="AD112"/>
  <c r="AD111"/>
  <c r="D111"/>
  <c r="AC110"/>
  <c r="AB110"/>
  <c r="AA110"/>
  <c r="Z110"/>
  <c r="Y110"/>
  <c r="X110"/>
  <c r="W110"/>
  <c r="V110"/>
  <c r="U110"/>
  <c r="T110"/>
  <c r="S110"/>
  <c r="R110"/>
  <c r="Q110"/>
  <c r="P110"/>
  <c r="O110"/>
  <c r="N110"/>
  <c r="M110"/>
  <c r="L110"/>
  <c r="K110"/>
  <c r="J110"/>
  <c r="I110"/>
  <c r="H110"/>
  <c r="G110"/>
  <c r="F110"/>
  <c r="AD109"/>
  <c r="AD108"/>
  <c r="H107"/>
  <c r="G107"/>
  <c r="F107"/>
  <c r="H106"/>
  <c r="G106"/>
  <c r="F106"/>
  <c r="H105"/>
  <c r="G105"/>
  <c r="F105"/>
  <c r="H104"/>
  <c r="G104"/>
  <c r="F104"/>
  <c r="H103"/>
  <c r="G103"/>
  <c r="F103"/>
  <c r="AD102"/>
  <c r="AD101"/>
  <c r="AD98"/>
  <c r="AD97"/>
  <c r="AD96"/>
  <c r="AD95"/>
  <c r="AD94"/>
  <c r="AD90"/>
  <c r="D90"/>
  <c r="AD89"/>
  <c r="D89"/>
  <c r="AD88"/>
  <c r="D88"/>
  <c r="AD87"/>
  <c r="D87"/>
  <c r="AD86"/>
  <c r="AD84"/>
  <c r="G83"/>
  <c r="F83"/>
  <c r="AD82"/>
  <c r="AD81"/>
  <c r="AD79"/>
  <c r="D79"/>
  <c r="AD78"/>
  <c r="AD77"/>
  <c r="AD76"/>
  <c r="AD75"/>
  <c r="AD74"/>
  <c r="AD71"/>
  <c r="AD70"/>
  <c r="D70"/>
  <c r="D97" s="1"/>
  <c r="D131" s="1"/>
  <c r="D136" s="1"/>
  <c r="AD69"/>
  <c r="D69"/>
  <c r="D96" s="1"/>
  <c r="AD68"/>
  <c r="AD67"/>
  <c r="AD63"/>
  <c r="D63"/>
  <c r="D116" s="1"/>
  <c r="AD62"/>
  <c r="AD61"/>
  <c r="AD60"/>
  <c r="D60"/>
  <c r="D112" s="1"/>
  <c r="AD59"/>
  <c r="D59"/>
  <c r="AC58"/>
  <c r="AC122" s="1"/>
  <c r="AB58"/>
  <c r="AB122" s="1"/>
  <c r="AA58"/>
  <c r="AA85" s="1"/>
  <c r="Z58"/>
  <c r="Y58"/>
  <c r="Y122" s="1"/>
  <c r="X58"/>
  <c r="X122" s="1"/>
  <c r="W58"/>
  <c r="W85" s="1"/>
  <c r="V58"/>
  <c r="U58"/>
  <c r="U122" s="1"/>
  <c r="T58"/>
  <c r="T122" s="1"/>
  <c r="S58"/>
  <c r="R58"/>
  <c r="Q58"/>
  <c r="Q122" s="1"/>
  <c r="P58"/>
  <c r="P122" s="1"/>
  <c r="O58"/>
  <c r="O85" s="1"/>
  <c r="N58"/>
  <c r="M58"/>
  <c r="M122" s="1"/>
  <c r="L58"/>
  <c r="L122" s="1"/>
  <c r="K58"/>
  <c r="J58"/>
  <c r="I58"/>
  <c r="I122" s="1"/>
  <c r="H58"/>
  <c r="H122" s="1"/>
  <c r="G58"/>
  <c r="G85" s="1"/>
  <c r="F58"/>
  <c r="AD57"/>
  <c r="G56"/>
  <c r="F56"/>
  <c r="AD55"/>
  <c r="AD53"/>
  <c r="AD52"/>
  <c r="AD51"/>
  <c r="AD50"/>
  <c r="AD49"/>
  <c r="AD48"/>
  <c r="AD47"/>
  <c r="AD46"/>
  <c r="AD45"/>
  <c r="AD44"/>
  <c r="AD43"/>
  <c r="AD42"/>
  <c r="AD41"/>
  <c r="AD40"/>
  <c r="AD36"/>
  <c r="AD35"/>
  <c r="AD34"/>
  <c r="AD28"/>
  <c r="AD27"/>
  <c r="AC164"/>
  <c r="AB164"/>
  <c r="AA164"/>
  <c r="Z164"/>
  <c r="Y164"/>
  <c r="X164"/>
  <c r="W164"/>
  <c r="V164"/>
  <c r="U164"/>
  <c r="T164"/>
  <c r="S164"/>
  <c r="R164"/>
  <c r="Q164"/>
  <c r="P164"/>
  <c r="O164"/>
  <c r="N164"/>
  <c r="M164"/>
  <c r="L164"/>
  <c r="K164"/>
  <c r="J164"/>
  <c r="I164"/>
  <c r="AC107"/>
  <c r="AB107"/>
  <c r="AA107"/>
  <c r="Z107"/>
  <c r="Y107"/>
  <c r="X107"/>
  <c r="W107"/>
  <c r="V107"/>
  <c r="U107"/>
  <c r="T107"/>
  <c r="S107"/>
  <c r="R107"/>
  <c r="Q107"/>
  <c r="P107"/>
  <c r="O107"/>
  <c r="N107"/>
  <c r="M107"/>
  <c r="L107"/>
  <c r="K107"/>
  <c r="J107"/>
  <c r="I107"/>
  <c r="W159"/>
  <c r="O159"/>
  <c r="M159"/>
  <c r="W106"/>
  <c r="R106"/>
  <c r="K106"/>
  <c r="X105"/>
  <c r="Q105"/>
  <c r="N105"/>
  <c r="AC104"/>
  <c r="X104"/>
  <c r="Y103"/>
  <c r="M103"/>
  <c r="AD19"/>
  <c r="AD18"/>
  <c r="AD14"/>
  <c r="AD13"/>
  <c r="AD9"/>
  <c r="AD8"/>
  <c r="AD7"/>
  <c r="D115" i="34"/>
  <c r="D117"/>
  <c r="D119"/>
  <c r="D118"/>
  <c r="D116"/>
  <c r="D105"/>
  <c r="D103"/>
  <c r="D269" i="29"/>
  <c r="D267"/>
  <c r="D265"/>
  <c r="D261"/>
  <c r="D259"/>
  <c r="AD121" i="34"/>
  <c r="AD114"/>
  <c r="AD102"/>
  <c r="AD101"/>
  <c r="AD100"/>
  <c r="AF276" i="29"/>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C41" i="9"/>
  <c r="C95"/>
  <c r="AD281" i="29"/>
  <c r="AD275"/>
  <c r="AD274"/>
  <c r="AD273"/>
  <c r="AD271"/>
  <c r="AD264"/>
  <c r="AD263"/>
  <c r="AD258"/>
  <c r="AD257"/>
  <c r="AD252"/>
  <c r="AD247"/>
  <c r="AD246"/>
  <c r="AD245"/>
  <c r="AD244"/>
  <c r="AD243"/>
  <c r="AD241"/>
  <c r="AD240"/>
  <c r="AD239"/>
  <c r="AD238"/>
  <c r="AD232"/>
  <c r="AD227"/>
  <c r="AD226"/>
  <c r="AD225"/>
  <c r="AD224"/>
  <c r="AD223"/>
  <c r="AD220"/>
  <c r="AD218"/>
  <c r="AD216"/>
  <c r="AD215"/>
  <c r="AD214"/>
  <c r="AD212"/>
  <c r="AD211"/>
  <c r="AD209"/>
  <c r="AD208"/>
  <c r="AD207"/>
  <c r="AD205"/>
  <c r="AD200"/>
  <c r="AD199"/>
  <c r="AD194"/>
  <c r="AD189"/>
  <c r="AD184"/>
  <c r="AD183"/>
  <c r="AD178"/>
  <c r="AD177"/>
  <c r="AD176"/>
  <c r="AD175"/>
  <c r="AD174"/>
  <c r="AD173"/>
  <c r="AD170"/>
  <c r="AD169"/>
  <c r="AD168"/>
  <c r="AD167"/>
  <c r="AD166"/>
  <c r="AD162"/>
  <c r="AD161"/>
  <c r="AD160"/>
  <c r="AD159"/>
  <c r="AD158"/>
  <c r="AD156"/>
  <c r="AD154"/>
  <c r="AD152"/>
  <c r="AD151"/>
  <c r="AD150"/>
  <c r="AD148"/>
  <c r="AD147"/>
  <c r="AD146"/>
  <c r="AD139"/>
  <c r="AD138"/>
  <c r="AD137"/>
  <c r="AD136"/>
  <c r="AD135"/>
  <c r="AD134"/>
  <c r="AD133"/>
  <c r="AD129"/>
  <c r="AD128"/>
  <c r="AD122"/>
  <c r="AD121"/>
  <c r="AD120"/>
  <c r="AD119"/>
  <c r="AD118"/>
  <c r="AD117"/>
  <c r="AD116"/>
  <c r="AD114"/>
  <c r="AD113"/>
  <c r="AD107"/>
  <c r="AD106"/>
  <c r="AD103"/>
  <c r="AD102"/>
  <c r="AD101"/>
  <c r="AD100"/>
  <c r="AD99"/>
  <c r="AD95"/>
  <c r="AD94"/>
  <c r="AD93"/>
  <c r="AD92"/>
  <c r="AD91"/>
  <c r="AD89"/>
  <c r="AD87"/>
  <c r="AD86"/>
  <c r="AD84"/>
  <c r="AD83"/>
  <c r="AD82"/>
  <c r="AD81"/>
  <c r="AD80"/>
  <c r="AD79"/>
  <c r="AD76"/>
  <c r="AD75"/>
  <c r="AD74"/>
  <c r="AD73"/>
  <c r="AD72"/>
  <c r="AD68"/>
  <c r="AD67"/>
  <c r="AD66"/>
  <c r="AD65"/>
  <c r="AD64"/>
  <c r="AD62"/>
  <c r="AD60"/>
  <c r="AD58"/>
  <c r="AD57"/>
  <c r="AD56"/>
  <c r="AD55"/>
  <c r="AD54"/>
  <c r="AD53"/>
  <c r="AD52"/>
  <c r="AD51"/>
  <c r="AD50"/>
  <c r="AD49"/>
  <c r="AD48"/>
  <c r="AD47"/>
  <c r="AD46"/>
  <c r="AD45"/>
  <c r="AD41"/>
  <c r="AD40"/>
  <c r="AD39"/>
  <c r="AD33"/>
  <c r="AD32"/>
  <c r="AD28"/>
  <c r="AD27"/>
  <c r="AD19"/>
  <c r="AD18"/>
  <c r="AD14"/>
  <c r="AD13"/>
  <c r="AD9"/>
  <c r="AD8"/>
  <c r="AD7"/>
  <c r="AD6"/>
  <c r="AD5"/>
  <c r="K295"/>
  <c r="J295"/>
  <c r="I295"/>
  <c r="H295"/>
  <c r="G295"/>
  <c r="F295"/>
  <c r="E297"/>
  <c r="I10"/>
  <c r="H10"/>
  <c r="G10"/>
  <c r="F10"/>
  <c r="G113" i="31"/>
  <c r="G112"/>
  <c r="G109"/>
  <c r="G108"/>
  <c r="G106"/>
  <c r="G114" s="1"/>
  <c r="H105"/>
  <c r="H106" s="1"/>
  <c r="G251" i="35" l="1"/>
  <c r="F303"/>
  <c r="F304"/>
  <c r="G249"/>
  <c r="F282"/>
  <c r="F283"/>
  <c r="K241" i="47"/>
  <c r="K240"/>
  <c r="K239"/>
  <c r="L189"/>
  <c r="K242" i="46"/>
  <c r="K241"/>
  <c r="K240"/>
  <c r="K243"/>
  <c r="K247"/>
  <c r="L189"/>
  <c r="K246"/>
  <c r="M245" i="45"/>
  <c r="M244"/>
  <c r="M243"/>
  <c r="M246"/>
  <c r="M250"/>
  <c r="M249"/>
  <c r="M251"/>
  <c r="I196" i="44"/>
  <c r="G105" i="34"/>
  <c r="G106" s="1"/>
  <c r="F105"/>
  <c r="F225" i="35"/>
  <c r="G225"/>
  <c r="D231"/>
  <c r="V28" i="41"/>
  <c r="Y24" i="45" s="1"/>
  <c r="Y123" s="1"/>
  <c r="Y124" s="1"/>
  <c r="Y23"/>
  <c r="U28" i="42"/>
  <c r="X24" i="46" s="1"/>
  <c r="X123" s="1"/>
  <c r="X124" s="1"/>
  <c r="X23"/>
  <c r="U177" i="45"/>
  <c r="U178" s="1"/>
  <c r="U112"/>
  <c r="U121" s="1"/>
  <c r="U210" s="1"/>
  <c r="U131"/>
  <c r="U179"/>
  <c r="U180" s="1"/>
  <c r="U175"/>
  <c r="U176" s="1"/>
  <c r="G103" i="34"/>
  <c r="F103"/>
  <c r="F104" s="1"/>
  <c r="D226" i="35"/>
  <c r="D219"/>
  <c r="I28" i="41"/>
  <c r="L24" i="45" s="1"/>
  <c r="L123" s="1"/>
  <c r="L124" s="1"/>
  <c r="L23"/>
  <c r="H28" i="41"/>
  <c r="K24" i="45" s="1"/>
  <c r="K123" s="1"/>
  <c r="K124" s="1"/>
  <c r="K23"/>
  <c r="E28" i="41"/>
  <c r="H24" i="45" s="1"/>
  <c r="H23"/>
  <c r="O28" i="42"/>
  <c r="R24" i="46" s="1"/>
  <c r="R123" s="1"/>
  <c r="R124" s="1"/>
  <c r="R23"/>
  <c r="Z28" i="42"/>
  <c r="AC24" i="46" s="1"/>
  <c r="AC123" s="1"/>
  <c r="AC124" s="1"/>
  <c r="AC23"/>
  <c r="M28" i="42"/>
  <c r="P24" i="46" s="1"/>
  <c r="P123" s="1"/>
  <c r="P124" s="1"/>
  <c r="P23"/>
  <c r="Q28" i="42"/>
  <c r="T24" i="46" s="1"/>
  <c r="T123" s="1"/>
  <c r="T124" s="1"/>
  <c r="T23"/>
  <c r="P28" i="42"/>
  <c r="S24" i="46" s="1"/>
  <c r="S123" s="1"/>
  <c r="S124" s="1"/>
  <c r="S23"/>
  <c r="F226" i="47"/>
  <c r="F247"/>
  <c r="F227" i="46"/>
  <c r="F248"/>
  <c r="F225"/>
  <c r="F246"/>
  <c r="O177" i="45"/>
  <c r="O178" s="1"/>
  <c r="O131"/>
  <c r="O112"/>
  <c r="O121" s="1"/>
  <c r="O210" s="1"/>
  <c r="O179"/>
  <c r="O180" s="1"/>
  <c r="O175"/>
  <c r="O176" s="1"/>
  <c r="O132"/>
  <c r="R179"/>
  <c r="R180" s="1"/>
  <c r="R112"/>
  <c r="R121" s="1"/>
  <c r="R210" s="1"/>
  <c r="R175"/>
  <c r="R176" s="1"/>
  <c r="R177"/>
  <c r="R178" s="1"/>
  <c r="R131"/>
  <c r="AC133"/>
  <c r="AC138" s="1"/>
  <c r="AC177"/>
  <c r="AC178" s="1"/>
  <c r="AC132"/>
  <c r="AC175"/>
  <c r="AC176" s="1"/>
  <c r="AC179"/>
  <c r="AC180" s="1"/>
  <c r="AC112"/>
  <c r="AC121" s="1"/>
  <c r="AC210" s="1"/>
  <c r="AC131"/>
  <c r="W177"/>
  <c r="W178" s="1"/>
  <c r="W131"/>
  <c r="W112"/>
  <c r="W121" s="1"/>
  <c r="W210" s="1"/>
  <c r="W179"/>
  <c r="W180" s="1"/>
  <c r="W175"/>
  <c r="W176" s="1"/>
  <c r="AD71" i="47"/>
  <c r="G214" i="35"/>
  <c r="G215" s="1"/>
  <c r="D220"/>
  <c r="J28" i="41"/>
  <c r="M24" i="45" s="1"/>
  <c r="M123" s="1"/>
  <c r="M124" s="1"/>
  <c r="M23"/>
  <c r="F230" i="47"/>
  <c r="F251"/>
  <c r="P175" i="45"/>
  <c r="P176" s="1"/>
  <c r="P179"/>
  <c r="P180" s="1"/>
  <c r="P177"/>
  <c r="P178" s="1"/>
  <c r="P131"/>
  <c r="P112"/>
  <c r="P121" s="1"/>
  <c r="P210" s="1"/>
  <c r="D218" i="35"/>
  <c r="G212"/>
  <c r="G213" s="1"/>
  <c r="P28" i="41"/>
  <c r="S24" i="45" s="1"/>
  <c r="S123" s="1"/>
  <c r="S124" s="1"/>
  <c r="S23"/>
  <c r="N28" i="41"/>
  <c r="Q24" i="45" s="1"/>
  <c r="Q123" s="1"/>
  <c r="Q124" s="1"/>
  <c r="Q23"/>
  <c r="X28" i="41"/>
  <c r="AA24" i="45" s="1"/>
  <c r="AA123" s="1"/>
  <c r="AA124" s="1"/>
  <c r="AA23"/>
  <c r="X28" i="42"/>
  <c r="AA24" i="46" s="1"/>
  <c r="AA123" s="1"/>
  <c r="AA124" s="1"/>
  <c r="AA23"/>
  <c r="N28" i="42"/>
  <c r="Q24" i="46" s="1"/>
  <c r="Q123" s="1"/>
  <c r="Q124" s="1"/>
  <c r="Q23"/>
  <c r="W28" i="42"/>
  <c r="Z24" i="46" s="1"/>
  <c r="Z123" s="1"/>
  <c r="Z124" s="1"/>
  <c r="Z23"/>
  <c r="H28" i="42"/>
  <c r="K24" i="46" s="1"/>
  <c r="K123" s="1"/>
  <c r="K124" s="1"/>
  <c r="K23"/>
  <c r="Y28" i="42"/>
  <c r="AB24" i="46" s="1"/>
  <c r="AB123" s="1"/>
  <c r="AB124" s="1"/>
  <c r="AB23"/>
  <c r="I131"/>
  <c r="I177"/>
  <c r="I178" s="1"/>
  <c r="I112"/>
  <c r="I121" s="1"/>
  <c r="I207" s="1"/>
  <c r="I179"/>
  <c r="I180" s="1"/>
  <c r="I175"/>
  <c r="I176" s="1"/>
  <c r="X177" i="45"/>
  <c r="X178" s="1"/>
  <c r="X131"/>
  <c r="X175"/>
  <c r="X176" s="1"/>
  <c r="X112"/>
  <c r="X121" s="1"/>
  <c r="X210" s="1"/>
  <c r="X179"/>
  <c r="X180" s="1"/>
  <c r="N179"/>
  <c r="N180" s="1"/>
  <c r="N175"/>
  <c r="N176" s="1"/>
  <c r="N177"/>
  <c r="N178" s="1"/>
  <c r="N112"/>
  <c r="N121" s="1"/>
  <c r="N210" s="1"/>
  <c r="N131"/>
  <c r="T177"/>
  <c r="T178" s="1"/>
  <c r="T175"/>
  <c r="T176" s="1"/>
  <c r="T179"/>
  <c r="T180" s="1"/>
  <c r="T131"/>
  <c r="T112"/>
  <c r="T121" s="1"/>
  <c r="T210" s="1"/>
  <c r="H123" i="46"/>
  <c r="G28" i="41"/>
  <c r="J24" i="45" s="1"/>
  <c r="J123" s="1"/>
  <c r="J124" s="1"/>
  <c r="J23"/>
  <c r="I28" i="42"/>
  <c r="L24" i="46" s="1"/>
  <c r="L123" s="1"/>
  <c r="L124" s="1"/>
  <c r="L23"/>
  <c r="G28" i="42"/>
  <c r="J24" i="46" s="1"/>
  <c r="J123" s="1"/>
  <c r="J124" s="1"/>
  <c r="J23"/>
  <c r="L28" i="42"/>
  <c r="O24" i="46" s="1"/>
  <c r="O123" s="1"/>
  <c r="O124" s="1"/>
  <c r="O23"/>
  <c r="R28" i="42"/>
  <c r="U24" i="46" s="1"/>
  <c r="U123" s="1"/>
  <c r="U124" s="1"/>
  <c r="U23"/>
  <c r="N179"/>
  <c r="N180" s="1"/>
  <c r="N112"/>
  <c r="N121" s="1"/>
  <c r="N207" s="1"/>
  <c r="N175"/>
  <c r="N176" s="1"/>
  <c r="N177"/>
  <c r="N178" s="1"/>
  <c r="N131"/>
  <c r="D228" i="35"/>
  <c r="D221"/>
  <c r="G227"/>
  <c r="G228" s="1"/>
  <c r="D233"/>
  <c r="S28" i="41"/>
  <c r="V24" i="45" s="1"/>
  <c r="V123" s="1"/>
  <c r="V124" s="1"/>
  <c r="V23"/>
  <c r="Y28" i="41"/>
  <c r="AB24" i="45" s="1"/>
  <c r="AB123" s="1"/>
  <c r="AB124" s="1"/>
  <c r="AB23"/>
  <c r="F28" i="41"/>
  <c r="I24" i="45" s="1"/>
  <c r="I123" s="1"/>
  <c r="I124" s="1"/>
  <c r="I23"/>
  <c r="S28" i="42"/>
  <c r="V24" i="46" s="1"/>
  <c r="V123" s="1"/>
  <c r="V124" s="1"/>
  <c r="V23"/>
  <c r="J28" i="42"/>
  <c r="M24" i="46" s="1"/>
  <c r="M123" s="1"/>
  <c r="M124" s="1"/>
  <c r="M23"/>
  <c r="V28" i="42"/>
  <c r="Y24" i="46" s="1"/>
  <c r="Y123" s="1"/>
  <c r="Y124" s="1"/>
  <c r="Y23"/>
  <c r="T28" i="42"/>
  <c r="W24" i="46" s="1"/>
  <c r="W123" s="1"/>
  <c r="W124" s="1"/>
  <c r="W23"/>
  <c r="F230" i="45"/>
  <c r="F251"/>
  <c r="F226" i="46"/>
  <c r="F247"/>
  <c r="F224" i="47"/>
  <c r="F245"/>
  <c r="I226"/>
  <c r="I247"/>
  <c r="Z179" i="45"/>
  <c r="Z180" s="1"/>
  <c r="Z175"/>
  <c r="Z176" s="1"/>
  <c r="Z132"/>
  <c r="Z133"/>
  <c r="Z138" s="1"/>
  <c r="Z177"/>
  <c r="Z178" s="1"/>
  <c r="Z131"/>
  <c r="Z112"/>
  <c r="Z121" s="1"/>
  <c r="Z210" s="1"/>
  <c r="H177" i="46"/>
  <c r="H179"/>
  <c r="H112"/>
  <c r="H175"/>
  <c r="H131"/>
  <c r="AD45" i="47"/>
  <c r="K237" i="44"/>
  <c r="K238"/>
  <c r="K236"/>
  <c r="L183"/>
  <c r="K215"/>
  <c r="K217"/>
  <c r="K216"/>
  <c r="L181"/>
  <c r="K224" i="45"/>
  <c r="K223"/>
  <c r="K222"/>
  <c r="K228"/>
  <c r="K225"/>
  <c r="K229"/>
  <c r="L187"/>
  <c r="J226"/>
  <c r="L221" i="46"/>
  <c r="L219"/>
  <c r="L220"/>
  <c r="L222"/>
  <c r="L225"/>
  <c r="L226"/>
  <c r="K223"/>
  <c r="K220" i="47"/>
  <c r="K218"/>
  <c r="K219"/>
  <c r="L187"/>
  <c r="AD158"/>
  <c r="AD157"/>
  <c r="AD160"/>
  <c r="AD159"/>
  <c r="AA109"/>
  <c r="AA205" s="1"/>
  <c r="Q109"/>
  <c r="Q205" s="1"/>
  <c r="AD108" i="46"/>
  <c r="AB109" i="47"/>
  <c r="AB205" s="1"/>
  <c r="R109"/>
  <c r="R205" s="1"/>
  <c r="T109"/>
  <c r="T205" s="1"/>
  <c r="Y109"/>
  <c r="Y205" s="1"/>
  <c r="P109"/>
  <c r="P205" s="1"/>
  <c r="S109"/>
  <c r="S205" s="1"/>
  <c r="X109"/>
  <c r="X205" s="1"/>
  <c r="Z109"/>
  <c r="Z205" s="1"/>
  <c r="K109"/>
  <c r="K205" s="1"/>
  <c r="O109"/>
  <c r="O205" s="1"/>
  <c r="N204"/>
  <c r="J109"/>
  <c r="J205" s="1"/>
  <c r="Z200"/>
  <c r="AA200"/>
  <c r="I201"/>
  <c r="E82" i="24" s="1"/>
  <c r="I221" i="47"/>
  <c r="I222" s="1"/>
  <c r="Q200"/>
  <c r="V109"/>
  <c r="V205" s="1"/>
  <c r="U109"/>
  <c r="U205" s="1"/>
  <c r="W109"/>
  <c r="W205" s="1"/>
  <c r="I204"/>
  <c r="K200"/>
  <c r="AC109"/>
  <c r="AC205" s="1"/>
  <c r="U56"/>
  <c r="U57" s="1"/>
  <c r="U63"/>
  <c r="U64" s="1"/>
  <c r="T63"/>
  <c r="T64" s="1"/>
  <c r="T56"/>
  <c r="T57" s="1"/>
  <c r="J63"/>
  <c r="J64" s="1"/>
  <c r="J56"/>
  <c r="J57" s="1"/>
  <c r="S63"/>
  <c r="S64" s="1"/>
  <c r="S56"/>
  <c r="S57" s="1"/>
  <c r="P63"/>
  <c r="P64" s="1"/>
  <c r="P56"/>
  <c r="P57" s="1"/>
  <c r="AC63"/>
  <c r="AC64" s="1"/>
  <c r="AC56"/>
  <c r="AC57" s="1"/>
  <c r="J200"/>
  <c r="K63"/>
  <c r="K64" s="1"/>
  <c r="K56"/>
  <c r="K57" s="1"/>
  <c r="H154"/>
  <c r="AD154" s="1"/>
  <c r="AD153"/>
  <c r="L63"/>
  <c r="L64" s="1"/>
  <c r="L56"/>
  <c r="L57" s="1"/>
  <c r="M63"/>
  <c r="M64" s="1"/>
  <c r="M56"/>
  <c r="M57" s="1"/>
  <c r="Y56"/>
  <c r="Y57" s="1"/>
  <c r="Y63"/>
  <c r="Y64" s="1"/>
  <c r="V63"/>
  <c r="V64" s="1"/>
  <c r="V56"/>
  <c r="V57" s="1"/>
  <c r="R63"/>
  <c r="R64" s="1"/>
  <c r="R56"/>
  <c r="R57" s="1"/>
  <c r="AC200"/>
  <c r="M200"/>
  <c r="L109"/>
  <c r="L205" s="1"/>
  <c r="H152"/>
  <c r="AD152" s="1"/>
  <c r="AD151"/>
  <c r="X63"/>
  <c r="X64" s="1"/>
  <c r="X56"/>
  <c r="X57" s="1"/>
  <c r="W63"/>
  <c r="W64" s="1"/>
  <c r="W56"/>
  <c r="W57" s="1"/>
  <c r="O56"/>
  <c r="O57" s="1"/>
  <c r="O63"/>
  <c r="O64" s="1"/>
  <c r="Q63"/>
  <c r="Q64" s="1"/>
  <c r="Q56"/>
  <c r="Q57" s="1"/>
  <c r="H63"/>
  <c r="AD47"/>
  <c r="H56"/>
  <c r="AA56"/>
  <c r="AA57" s="1"/>
  <c r="AA63"/>
  <c r="AA64" s="1"/>
  <c r="Z56"/>
  <c r="Z57" s="1"/>
  <c r="Z63"/>
  <c r="Z64" s="1"/>
  <c r="AB63"/>
  <c r="AB64" s="1"/>
  <c r="AB56"/>
  <c r="AB57" s="1"/>
  <c r="AD97"/>
  <c r="H100"/>
  <c r="AD100" s="1"/>
  <c r="H99"/>
  <c r="AD99" s="1"/>
  <c r="Q28" i="43"/>
  <c r="T24" i="47" s="1"/>
  <c r="T124" s="1"/>
  <c r="T125" s="1"/>
  <c r="T23"/>
  <c r="S25" i="43"/>
  <c r="V21" i="47" s="1"/>
  <c r="V20"/>
  <c r="U19" i="43"/>
  <c r="X22" i="47"/>
  <c r="V28" i="43"/>
  <c r="Y24" i="47" s="1"/>
  <c r="Y124" s="1"/>
  <c r="Y125" s="1"/>
  <c r="Y23"/>
  <c r="N25" i="43"/>
  <c r="Q21" i="47" s="1"/>
  <c r="Q20"/>
  <c r="Q19" i="43"/>
  <c r="T22" i="47"/>
  <c r="H28" i="43"/>
  <c r="K24" i="47" s="1"/>
  <c r="K124" s="1"/>
  <c r="K125" s="1"/>
  <c r="K23"/>
  <c r="W25" i="43"/>
  <c r="Z21" i="47" s="1"/>
  <c r="Z20"/>
  <c r="X19" i="43"/>
  <c r="AA22" i="47"/>
  <c r="G28" i="43"/>
  <c r="J24" i="47" s="1"/>
  <c r="J124" s="1"/>
  <c r="J125" s="1"/>
  <c r="J23"/>
  <c r="T25" i="43"/>
  <c r="W21" i="47" s="1"/>
  <c r="W20"/>
  <c r="J19" i="43"/>
  <c r="M22" i="47"/>
  <c r="L28" i="43"/>
  <c r="O24" i="47" s="1"/>
  <c r="O124" s="1"/>
  <c r="O125" s="1"/>
  <c r="O23"/>
  <c r="S20"/>
  <c r="P25" i="43"/>
  <c r="S21" i="47" s="1"/>
  <c r="M19" i="43"/>
  <c r="P22" i="47"/>
  <c r="O28" i="43"/>
  <c r="R24" i="47" s="1"/>
  <c r="R124" s="1"/>
  <c r="R125" s="1"/>
  <c r="R23"/>
  <c r="N132"/>
  <c r="AA90"/>
  <c r="AA91" s="1"/>
  <c r="AA83"/>
  <c r="AA84" s="1"/>
  <c r="K90"/>
  <c r="K91" s="1"/>
  <c r="K83"/>
  <c r="K84" s="1"/>
  <c r="N203"/>
  <c r="R90"/>
  <c r="R91" s="1"/>
  <c r="R83"/>
  <c r="R84" s="1"/>
  <c r="Z90"/>
  <c r="Z91" s="1"/>
  <c r="Z204" s="1"/>
  <c r="Z83"/>
  <c r="Z84" s="1"/>
  <c r="AD173"/>
  <c r="AD172"/>
  <c r="I132"/>
  <c r="P200"/>
  <c r="S200"/>
  <c r="M109"/>
  <c r="M205" s="1"/>
  <c r="T200"/>
  <c r="U200"/>
  <c r="X200"/>
  <c r="W200"/>
  <c r="S19" i="43"/>
  <c r="V22" i="47"/>
  <c r="U25" i="43"/>
  <c r="X21" i="47" s="1"/>
  <c r="X20"/>
  <c r="V19" i="43"/>
  <c r="Y22" i="47"/>
  <c r="R28" i="43"/>
  <c r="U24" i="47" s="1"/>
  <c r="U124" s="1"/>
  <c r="U125" s="1"/>
  <c r="U23"/>
  <c r="Q25" i="43"/>
  <c r="T21" i="47" s="1"/>
  <c r="T20"/>
  <c r="H19" i="43"/>
  <c r="K22" i="47"/>
  <c r="E28" i="43"/>
  <c r="H24" i="47" s="1"/>
  <c r="H23"/>
  <c r="AA20"/>
  <c r="X25" i="43"/>
  <c r="AA21" i="47" s="1"/>
  <c r="G19" i="43"/>
  <c r="J22" i="47"/>
  <c r="I28" i="43"/>
  <c r="L24" i="47" s="1"/>
  <c r="L124" s="1"/>
  <c r="L125" s="1"/>
  <c r="L23"/>
  <c r="J25" i="43"/>
  <c r="M21" i="47" s="1"/>
  <c r="M20"/>
  <c r="L19" i="43"/>
  <c r="O22" i="47"/>
  <c r="Y28" i="43"/>
  <c r="AB24" i="47" s="1"/>
  <c r="AB124" s="1"/>
  <c r="AB125" s="1"/>
  <c r="AB23"/>
  <c r="M25" i="43"/>
  <c r="P21" i="47" s="1"/>
  <c r="P20"/>
  <c r="O19" i="43"/>
  <c r="R22" i="47"/>
  <c r="Z28" i="43"/>
  <c r="AC24" i="47" s="1"/>
  <c r="AC124" s="1"/>
  <c r="AC125" s="1"/>
  <c r="AC23"/>
  <c r="AB90"/>
  <c r="AB91" s="1"/>
  <c r="AB83"/>
  <c r="AB84" s="1"/>
  <c r="N113"/>
  <c r="N176"/>
  <c r="N177" s="1"/>
  <c r="N178"/>
  <c r="N179" s="1"/>
  <c r="N180"/>
  <c r="N181" s="1"/>
  <c r="P90"/>
  <c r="P91" s="1"/>
  <c r="P83"/>
  <c r="P84" s="1"/>
  <c r="AC90"/>
  <c r="AC91" s="1"/>
  <c r="AC83"/>
  <c r="AC84" s="1"/>
  <c r="AD103"/>
  <c r="H106"/>
  <c r="AD106" s="1"/>
  <c r="H105"/>
  <c r="M90"/>
  <c r="M91" s="1"/>
  <c r="M83"/>
  <c r="M84" s="1"/>
  <c r="Y90"/>
  <c r="Y91" s="1"/>
  <c r="Y83"/>
  <c r="Y84" s="1"/>
  <c r="L90"/>
  <c r="L91" s="1"/>
  <c r="L83"/>
  <c r="L84" s="1"/>
  <c r="F20" i="43"/>
  <c r="I30" i="47" s="1"/>
  <c r="I116" s="1"/>
  <c r="I29"/>
  <c r="W90"/>
  <c r="W91" s="1"/>
  <c r="W204" s="1"/>
  <c r="W83"/>
  <c r="W84" s="1"/>
  <c r="R200"/>
  <c r="N19" i="43"/>
  <c r="Q22" i="47"/>
  <c r="S28" i="43"/>
  <c r="V24" i="47" s="1"/>
  <c r="V124" s="1"/>
  <c r="V125" s="1"/>
  <c r="V23"/>
  <c r="V25" i="43"/>
  <c r="Y21" i="47" s="1"/>
  <c r="Y20"/>
  <c r="R19" i="43"/>
  <c r="U22" i="47"/>
  <c r="N28" i="43"/>
  <c r="Q24" i="47" s="1"/>
  <c r="Q124" s="1"/>
  <c r="Q125" s="1"/>
  <c r="Q23"/>
  <c r="K20"/>
  <c r="H25" i="43"/>
  <c r="K21" i="47" s="1"/>
  <c r="E19" i="43"/>
  <c r="H22" i="47"/>
  <c r="W28" i="43"/>
  <c r="Z24" i="47" s="1"/>
  <c r="Z124" s="1"/>
  <c r="Z125" s="1"/>
  <c r="Z23"/>
  <c r="G25" i="43"/>
  <c r="J21" i="47" s="1"/>
  <c r="J20"/>
  <c r="I19" i="43"/>
  <c r="L22" i="47"/>
  <c r="T28" i="43"/>
  <c r="W24" i="47" s="1"/>
  <c r="W124" s="1"/>
  <c r="W125" s="1"/>
  <c r="W23"/>
  <c r="L25" i="43"/>
  <c r="O21" i="47" s="1"/>
  <c r="O20"/>
  <c r="Y19" i="43"/>
  <c r="AB22" i="47"/>
  <c r="P28" i="43"/>
  <c r="S24" i="47" s="1"/>
  <c r="S124" s="1"/>
  <c r="S125" s="1"/>
  <c r="S23"/>
  <c r="O25" i="43"/>
  <c r="R21" i="47" s="1"/>
  <c r="R20"/>
  <c r="Z19" i="43"/>
  <c r="AC22" i="47"/>
  <c r="I113"/>
  <c r="I178"/>
  <c r="I179" s="1"/>
  <c r="I176"/>
  <c r="I177" s="1"/>
  <c r="I180"/>
  <c r="I181" s="1"/>
  <c r="S90"/>
  <c r="S91" s="1"/>
  <c r="S83"/>
  <c r="S84" s="1"/>
  <c r="J221"/>
  <c r="J222" s="1"/>
  <c r="H167"/>
  <c r="AD167" s="1"/>
  <c r="AD166"/>
  <c r="H90"/>
  <c r="AD74"/>
  <c r="H83"/>
  <c r="Q90"/>
  <c r="Q91" s="1"/>
  <c r="Q83"/>
  <c r="Q84" s="1"/>
  <c r="AB200"/>
  <c r="O200"/>
  <c r="V200"/>
  <c r="Y200"/>
  <c r="L200"/>
  <c r="L242" s="1"/>
  <c r="U28" i="43"/>
  <c r="X24" i="47" s="1"/>
  <c r="X124" s="1"/>
  <c r="X125" s="1"/>
  <c r="X23"/>
  <c r="R25" i="43"/>
  <c r="U21" i="47" s="1"/>
  <c r="U20"/>
  <c r="H20"/>
  <c r="E25" i="43"/>
  <c r="H21" i="47" s="1"/>
  <c r="W19" i="43"/>
  <c r="Z22" i="47"/>
  <c r="X28" i="43"/>
  <c r="AA24" i="47" s="1"/>
  <c r="AA124" s="1"/>
  <c r="AA125" s="1"/>
  <c r="AA23"/>
  <c r="I25" i="43"/>
  <c r="L21" i="47" s="1"/>
  <c r="L20"/>
  <c r="T19" i="43"/>
  <c r="W22" i="47"/>
  <c r="J28" i="43"/>
  <c r="M24" i="47" s="1"/>
  <c r="M124" s="1"/>
  <c r="M125" s="1"/>
  <c r="M23"/>
  <c r="Y25" i="43"/>
  <c r="AB21" i="47" s="1"/>
  <c r="AB20"/>
  <c r="P19" i="43"/>
  <c r="S22" i="47"/>
  <c r="M28" i="43"/>
  <c r="P24" i="47" s="1"/>
  <c r="P124" s="1"/>
  <c r="P125" s="1"/>
  <c r="P23"/>
  <c r="Z25" i="43"/>
  <c r="AC21" i="47" s="1"/>
  <c r="AC20"/>
  <c r="K20" i="43"/>
  <c r="N30" i="47" s="1"/>
  <c r="N116" s="1"/>
  <c r="N29"/>
  <c r="K201"/>
  <c r="G82" i="24" s="1"/>
  <c r="N201" i="47"/>
  <c r="J82" i="24" s="1"/>
  <c r="O90" i="47"/>
  <c r="O91" s="1"/>
  <c r="O83"/>
  <c r="O84" s="1"/>
  <c r="V90"/>
  <c r="V91" s="1"/>
  <c r="V204" s="1"/>
  <c r="V83"/>
  <c r="V84" s="1"/>
  <c r="J90"/>
  <c r="J91" s="1"/>
  <c r="J204" s="1"/>
  <c r="J83"/>
  <c r="J84" s="1"/>
  <c r="T90"/>
  <c r="T91" s="1"/>
  <c r="T204" s="1"/>
  <c r="T83"/>
  <c r="T84" s="1"/>
  <c r="U90"/>
  <c r="U91" s="1"/>
  <c r="U83"/>
  <c r="U84" s="1"/>
  <c r="X90"/>
  <c r="X91" s="1"/>
  <c r="X204" s="1"/>
  <c r="X83"/>
  <c r="X84" s="1"/>
  <c r="I203"/>
  <c r="AD170"/>
  <c r="H165"/>
  <c r="AD164"/>
  <c r="G284" i="35"/>
  <c r="AD115" i="46"/>
  <c r="AD30"/>
  <c r="AD295" i="29"/>
  <c r="M187" i="46"/>
  <c r="AD108" i="45"/>
  <c r="N189"/>
  <c r="F80" i="35"/>
  <c r="F213"/>
  <c r="F214"/>
  <c r="F215" s="1"/>
  <c r="AB64"/>
  <c r="AB149" s="1"/>
  <c r="I94" i="32"/>
  <c r="I93"/>
  <c r="I92"/>
  <c r="I91"/>
  <c r="I90"/>
  <c r="I89"/>
  <c r="I88"/>
  <c r="J85"/>
  <c r="J86" s="1"/>
  <c r="K64"/>
  <c r="K63"/>
  <c r="K62"/>
  <c r="K61"/>
  <c r="K60"/>
  <c r="K59"/>
  <c r="K58"/>
  <c r="H114" i="31"/>
  <c r="H113"/>
  <c r="H112"/>
  <c r="H108"/>
  <c r="H109"/>
  <c r="G111"/>
  <c r="G110"/>
  <c r="X49" i="32"/>
  <c r="S49"/>
  <c r="O49"/>
  <c r="Y49"/>
  <c r="T49"/>
  <c r="P49"/>
  <c r="L49"/>
  <c r="Z49"/>
  <c r="V49"/>
  <c r="Q49"/>
  <c r="M49"/>
  <c r="U49"/>
  <c r="W49"/>
  <c r="R49"/>
  <c r="N49"/>
  <c r="J49"/>
  <c r="F49"/>
  <c r="G49"/>
  <c r="C49"/>
  <c r="H49"/>
  <c r="D49"/>
  <c r="I49"/>
  <c r="E49"/>
  <c r="AD30" i="35"/>
  <c r="AD164"/>
  <c r="G104" i="34"/>
  <c r="F106"/>
  <c r="T85" i="35"/>
  <c r="D138"/>
  <c r="O138" s="1"/>
  <c r="P85"/>
  <c r="AD110"/>
  <c r="L85"/>
  <c r="AB85"/>
  <c r="H85"/>
  <c r="X85"/>
  <c r="K122"/>
  <c r="K64"/>
  <c r="F122"/>
  <c r="F85"/>
  <c r="J122"/>
  <c r="J85"/>
  <c r="N122"/>
  <c r="N85"/>
  <c r="R122"/>
  <c r="R85"/>
  <c r="V122"/>
  <c r="V85"/>
  <c r="Z122"/>
  <c r="Z85"/>
  <c r="G80"/>
  <c r="AD23"/>
  <c r="AD21"/>
  <c r="AD26"/>
  <c r="AD58"/>
  <c r="J64"/>
  <c r="P64"/>
  <c r="U64"/>
  <c r="Z64"/>
  <c r="D72"/>
  <c r="Q85"/>
  <c r="AA137"/>
  <c r="I159"/>
  <c r="AD159" s="1"/>
  <c r="AD24"/>
  <c r="D99"/>
  <c r="D130"/>
  <c r="I64"/>
  <c r="N64"/>
  <c r="T64"/>
  <c r="Y64"/>
  <c r="K85"/>
  <c r="U85"/>
  <c r="AD104"/>
  <c r="AD22"/>
  <c r="AD25"/>
  <c r="H64"/>
  <c r="M64"/>
  <c r="R64"/>
  <c r="X64"/>
  <c r="AC64"/>
  <c r="I85"/>
  <c r="Y85"/>
  <c r="D86"/>
  <c r="AD105"/>
  <c r="AD106"/>
  <c r="D121"/>
  <c r="I103"/>
  <c r="AD103" s="1"/>
  <c r="AD20"/>
  <c r="G122"/>
  <c r="G64"/>
  <c r="O122"/>
  <c r="O64"/>
  <c r="S122"/>
  <c r="S64"/>
  <c r="W122"/>
  <c r="W64"/>
  <c r="AA122"/>
  <c r="AA64"/>
  <c r="AA136"/>
  <c r="W136"/>
  <c r="S136"/>
  <c r="O136"/>
  <c r="K136"/>
  <c r="G136"/>
  <c r="AB136"/>
  <c r="V136"/>
  <c r="Q136"/>
  <c r="L136"/>
  <c r="F136"/>
  <c r="AC136"/>
  <c r="X136"/>
  <c r="R136"/>
  <c r="M136"/>
  <c r="H136"/>
  <c r="Y136"/>
  <c r="T136"/>
  <c r="N136"/>
  <c r="I136"/>
  <c r="Z136"/>
  <c r="U136"/>
  <c r="P136"/>
  <c r="J136"/>
  <c r="F64"/>
  <c r="L64"/>
  <c r="Q64"/>
  <c r="V64"/>
  <c r="M85"/>
  <c r="S85"/>
  <c r="AC85"/>
  <c r="AD107"/>
  <c r="F137"/>
  <c r="K137"/>
  <c r="P137"/>
  <c r="V137"/>
  <c r="AC137"/>
  <c r="Y137"/>
  <c r="U137"/>
  <c r="Q137"/>
  <c r="M137"/>
  <c r="I137"/>
  <c r="J137"/>
  <c r="O137"/>
  <c r="T137"/>
  <c r="Z137"/>
  <c r="H137"/>
  <c r="N137"/>
  <c r="S137"/>
  <c r="X137"/>
  <c r="G137"/>
  <c r="L137"/>
  <c r="R137"/>
  <c r="W137"/>
  <c r="AB137"/>
  <c r="F227"/>
  <c r="H111" i="31"/>
  <c r="H110"/>
  <c r="H251" i="35" l="1"/>
  <c r="G303"/>
  <c r="G304"/>
  <c r="G305"/>
  <c r="H249"/>
  <c r="G282"/>
  <c r="G283"/>
  <c r="L241" i="47"/>
  <c r="L240"/>
  <c r="L239"/>
  <c r="M189"/>
  <c r="N210" i="46"/>
  <c r="L242"/>
  <c r="L241"/>
  <c r="L240"/>
  <c r="L243"/>
  <c r="L246"/>
  <c r="L247"/>
  <c r="L248"/>
  <c r="M189"/>
  <c r="N252" i="45"/>
  <c r="N245"/>
  <c r="N244"/>
  <c r="N243"/>
  <c r="N246"/>
  <c r="N250"/>
  <c r="N249"/>
  <c r="N251"/>
  <c r="H196" i="44"/>
  <c r="AD113"/>
  <c r="I238"/>
  <c r="I217"/>
  <c r="L226" i="47"/>
  <c r="L247"/>
  <c r="Z201"/>
  <c r="V82" i="24" s="1"/>
  <c r="F233" i="35"/>
  <c r="F234" s="1"/>
  <c r="G233"/>
  <c r="AB177" i="46"/>
  <c r="AB178" s="1"/>
  <c r="AB132"/>
  <c r="AB179"/>
  <c r="AB180" s="1"/>
  <c r="AB133"/>
  <c r="AB138" s="1"/>
  <c r="AB112"/>
  <c r="AB121" s="1"/>
  <c r="AB207" s="1"/>
  <c r="AB131"/>
  <c r="AB175"/>
  <c r="AB176" s="1"/>
  <c r="Q112" i="45"/>
  <c r="Q121" s="1"/>
  <c r="Q210" s="1"/>
  <c r="Q179"/>
  <c r="Q180" s="1"/>
  <c r="Q131"/>
  <c r="Q177"/>
  <c r="Q178" s="1"/>
  <c r="Q175"/>
  <c r="Q176" s="1"/>
  <c r="H123"/>
  <c r="AD24"/>
  <c r="K221" i="47"/>
  <c r="K242"/>
  <c r="H176" i="46"/>
  <c r="O131"/>
  <c r="O112"/>
  <c r="O121" s="1"/>
  <c r="O207" s="1"/>
  <c r="O177"/>
  <c r="O178" s="1"/>
  <c r="O175"/>
  <c r="O176" s="1"/>
  <c r="O132"/>
  <c r="O179"/>
  <c r="O180" s="1"/>
  <c r="L177"/>
  <c r="L178" s="1"/>
  <c r="L112"/>
  <c r="L121" s="1"/>
  <c r="L207" s="1"/>
  <c r="L175"/>
  <c r="L176" s="1"/>
  <c r="L179"/>
  <c r="L180" s="1"/>
  <c r="L131"/>
  <c r="H124"/>
  <c r="AD124" s="1"/>
  <c r="AD123"/>
  <c r="M177" i="45"/>
  <c r="M178" s="1"/>
  <c r="M112"/>
  <c r="M121" s="1"/>
  <c r="M210" s="1"/>
  <c r="M252" s="1"/>
  <c r="M179"/>
  <c r="M180" s="1"/>
  <c r="M131"/>
  <c r="M175"/>
  <c r="M176" s="1"/>
  <c r="T177" i="46"/>
  <c r="T178" s="1"/>
  <c r="T179"/>
  <c r="T180" s="1"/>
  <c r="T131"/>
  <c r="T112"/>
  <c r="T121" s="1"/>
  <c r="T207" s="1"/>
  <c r="T175"/>
  <c r="T176" s="1"/>
  <c r="AC177"/>
  <c r="AC178" s="1"/>
  <c r="AC112"/>
  <c r="AC121" s="1"/>
  <c r="AC207" s="1"/>
  <c r="AC131"/>
  <c r="AC133"/>
  <c r="AC138" s="1"/>
  <c r="AC132"/>
  <c r="AC179"/>
  <c r="AC180" s="1"/>
  <c r="AC175"/>
  <c r="AC176" s="1"/>
  <c r="H112" i="45"/>
  <c r="AD23"/>
  <c r="H179"/>
  <c r="H175"/>
  <c r="H177"/>
  <c r="H131"/>
  <c r="L112"/>
  <c r="L121" s="1"/>
  <c r="L210" s="1"/>
  <c r="L252" s="1"/>
  <c r="L177"/>
  <c r="L178" s="1"/>
  <c r="L131"/>
  <c r="L175"/>
  <c r="L176" s="1"/>
  <c r="L179"/>
  <c r="L180" s="1"/>
  <c r="N182" i="46"/>
  <c r="I210"/>
  <c r="K226" i="47"/>
  <c r="K247"/>
  <c r="AB177" i="45"/>
  <c r="AB178" s="1"/>
  <c r="AB179"/>
  <c r="AB180" s="1"/>
  <c r="AB132"/>
  <c r="AB175"/>
  <c r="AB176" s="1"/>
  <c r="AB133"/>
  <c r="AB138" s="1"/>
  <c r="AB131"/>
  <c r="AB112"/>
  <c r="AB121" s="1"/>
  <c r="AB210" s="1"/>
  <c r="Z179" i="46"/>
  <c r="Z180" s="1"/>
  <c r="Z112"/>
  <c r="Z121" s="1"/>
  <c r="Z207" s="1"/>
  <c r="Z133"/>
  <c r="Z138" s="1"/>
  <c r="Z175"/>
  <c r="Z176" s="1"/>
  <c r="Z132"/>
  <c r="Z177"/>
  <c r="Z178" s="1"/>
  <c r="Z131"/>
  <c r="G231" i="35"/>
  <c r="F231"/>
  <c r="H178" i="46"/>
  <c r="W131"/>
  <c r="W112"/>
  <c r="W121" s="1"/>
  <c r="W207" s="1"/>
  <c r="W177"/>
  <c r="W178" s="1"/>
  <c r="W182" s="1"/>
  <c r="W179"/>
  <c r="W180" s="1"/>
  <c r="W175"/>
  <c r="W176" s="1"/>
  <c r="M112"/>
  <c r="M121" s="1"/>
  <c r="M207" s="1"/>
  <c r="M249" s="1"/>
  <c r="M179"/>
  <c r="M180" s="1"/>
  <c r="M177"/>
  <c r="M178" s="1"/>
  <c r="M131"/>
  <c r="M175"/>
  <c r="M176" s="1"/>
  <c r="I175" i="45"/>
  <c r="I176" s="1"/>
  <c r="I131"/>
  <c r="I112"/>
  <c r="I121" s="1"/>
  <c r="I210" s="1"/>
  <c r="I179"/>
  <c r="I180" s="1"/>
  <c r="I177"/>
  <c r="I178" s="1"/>
  <c r="V179"/>
  <c r="V180" s="1"/>
  <c r="V175"/>
  <c r="V176" s="1"/>
  <c r="V112"/>
  <c r="V121" s="1"/>
  <c r="V210" s="1"/>
  <c r="V177"/>
  <c r="V178" s="1"/>
  <c r="V131"/>
  <c r="K112" i="46"/>
  <c r="K121" s="1"/>
  <c r="K207" s="1"/>
  <c r="K175"/>
  <c r="K176" s="1"/>
  <c r="K131"/>
  <c r="K177"/>
  <c r="K178" s="1"/>
  <c r="K179"/>
  <c r="K180" s="1"/>
  <c r="Q131"/>
  <c r="Q177"/>
  <c r="Q178" s="1"/>
  <c r="Q182" s="1"/>
  <c r="Q112"/>
  <c r="Q121" s="1"/>
  <c r="Q207" s="1"/>
  <c r="Q179"/>
  <c r="Q180" s="1"/>
  <c r="Q175"/>
  <c r="Q176" s="1"/>
  <c r="AA177" i="45"/>
  <c r="AA178" s="1"/>
  <c r="AA179"/>
  <c r="AA180" s="1"/>
  <c r="AA133"/>
  <c r="AA138" s="1"/>
  <c r="AA131"/>
  <c r="AA112"/>
  <c r="AA121" s="1"/>
  <c r="AA210" s="1"/>
  <c r="AA132"/>
  <c r="AA175"/>
  <c r="AA176" s="1"/>
  <c r="S177"/>
  <c r="S178" s="1"/>
  <c r="S179"/>
  <c r="S180" s="1"/>
  <c r="S112"/>
  <c r="S121" s="1"/>
  <c r="S210" s="1"/>
  <c r="S131"/>
  <c r="S175"/>
  <c r="S176" s="1"/>
  <c r="F218" i="35"/>
  <c r="F219" s="1"/>
  <c r="G218"/>
  <c r="G219" s="1"/>
  <c r="D238"/>
  <c r="D232"/>
  <c r="Y132" i="45"/>
  <c r="Y175"/>
  <c r="Y176" s="1"/>
  <c r="Y112"/>
  <c r="Y121" s="1"/>
  <c r="Y210" s="1"/>
  <c r="Y133"/>
  <c r="Y138" s="1"/>
  <c r="Y179"/>
  <c r="Y180" s="1"/>
  <c r="Y131"/>
  <c r="Y177"/>
  <c r="Y178" s="1"/>
  <c r="H121" i="46"/>
  <c r="AD24"/>
  <c r="I182"/>
  <c r="I225" i="47"/>
  <c r="I246"/>
  <c r="Y112" i="46"/>
  <c r="Y121" s="1"/>
  <c r="Y207" s="1"/>
  <c r="Y131"/>
  <c r="Y133"/>
  <c r="Y138" s="1"/>
  <c r="Y177"/>
  <c r="Y178" s="1"/>
  <c r="Y175"/>
  <c r="Y176" s="1"/>
  <c r="Y132"/>
  <c r="Y179"/>
  <c r="Y180" s="1"/>
  <c r="V179"/>
  <c r="V180" s="1"/>
  <c r="V175"/>
  <c r="V176" s="1"/>
  <c r="V112"/>
  <c r="V121" s="1"/>
  <c r="V207" s="1"/>
  <c r="V177"/>
  <c r="V178" s="1"/>
  <c r="V131"/>
  <c r="AA112"/>
  <c r="AA121" s="1"/>
  <c r="AA207" s="1"/>
  <c r="AA175"/>
  <c r="AA176" s="1"/>
  <c r="AA131"/>
  <c r="AA177"/>
  <c r="AA178" s="1"/>
  <c r="AA179"/>
  <c r="AA180" s="1"/>
  <c r="AA133"/>
  <c r="AA138" s="1"/>
  <c r="AA132"/>
  <c r="X177"/>
  <c r="X178" s="1"/>
  <c r="X112"/>
  <c r="X121" s="1"/>
  <c r="X207" s="1"/>
  <c r="X175"/>
  <c r="X176" s="1"/>
  <c r="X131"/>
  <c r="X179"/>
  <c r="X180" s="1"/>
  <c r="I224" i="47"/>
  <c r="I245"/>
  <c r="J225"/>
  <c r="J246"/>
  <c r="M201"/>
  <c r="I82" i="24" s="1"/>
  <c r="M242" i="47"/>
  <c r="J201"/>
  <c r="F82" i="24" s="1"/>
  <c r="J242" i="47"/>
  <c r="J226"/>
  <c r="J247"/>
  <c r="H180" i="46"/>
  <c r="D240" i="35"/>
  <c r="D234"/>
  <c r="U175" i="46"/>
  <c r="U176" s="1"/>
  <c r="U112"/>
  <c r="U121" s="1"/>
  <c r="U207" s="1"/>
  <c r="U131"/>
  <c r="U179"/>
  <c r="U180" s="1"/>
  <c r="U177"/>
  <c r="U178" s="1"/>
  <c r="J179"/>
  <c r="J180" s="1"/>
  <c r="J112"/>
  <c r="J121" s="1"/>
  <c r="J207" s="1"/>
  <c r="J175"/>
  <c r="J176" s="1"/>
  <c r="J177"/>
  <c r="J178" s="1"/>
  <c r="J131"/>
  <c r="J179" i="45"/>
  <c r="J180" s="1"/>
  <c r="J112"/>
  <c r="J121" s="1"/>
  <c r="J210" s="1"/>
  <c r="J175"/>
  <c r="J176" s="1"/>
  <c r="J177"/>
  <c r="J178" s="1"/>
  <c r="J131"/>
  <c r="I228" i="46"/>
  <c r="I249"/>
  <c r="F220" i="35"/>
  <c r="F221" s="1"/>
  <c r="G220"/>
  <c r="G221" s="1"/>
  <c r="S112" i="46"/>
  <c r="S121" s="1"/>
  <c r="S207" s="1"/>
  <c r="S175"/>
  <c r="S176" s="1"/>
  <c r="S131"/>
  <c r="S177"/>
  <c r="S178" s="1"/>
  <c r="S179"/>
  <c r="S180" s="1"/>
  <c r="P177"/>
  <c r="P178" s="1"/>
  <c r="P112"/>
  <c r="P121" s="1"/>
  <c r="P207" s="1"/>
  <c r="P179"/>
  <c r="P180" s="1"/>
  <c r="P175"/>
  <c r="P176" s="1"/>
  <c r="P131"/>
  <c r="R179"/>
  <c r="R180" s="1"/>
  <c r="R175"/>
  <c r="R176" s="1"/>
  <c r="R177"/>
  <c r="R178" s="1"/>
  <c r="R131"/>
  <c r="R112"/>
  <c r="R121" s="1"/>
  <c r="R207" s="1"/>
  <c r="K177" i="45"/>
  <c r="K178" s="1"/>
  <c r="K179"/>
  <c r="K180" s="1"/>
  <c r="K112"/>
  <c r="K121" s="1"/>
  <c r="K210" s="1"/>
  <c r="K131"/>
  <c r="K175"/>
  <c r="K176" s="1"/>
  <c r="AD23" i="46"/>
  <c r="G226" i="35"/>
  <c r="G264" s="1"/>
  <c r="G306" s="1"/>
  <c r="G307" s="1"/>
  <c r="L237" i="44"/>
  <c r="L236"/>
  <c r="L238"/>
  <c r="M183"/>
  <c r="L217"/>
  <c r="L215"/>
  <c r="L216"/>
  <c r="M181"/>
  <c r="L224" i="45"/>
  <c r="L223"/>
  <c r="L222"/>
  <c r="L231"/>
  <c r="L229"/>
  <c r="L225"/>
  <c r="L226" s="1"/>
  <c r="L228"/>
  <c r="L230"/>
  <c r="M187"/>
  <c r="K226"/>
  <c r="M221" i="46"/>
  <c r="M220"/>
  <c r="M219"/>
  <c r="M225"/>
  <c r="M222"/>
  <c r="M223" s="1"/>
  <c r="M226"/>
  <c r="M227"/>
  <c r="M228"/>
  <c r="L223"/>
  <c r="I209" i="47"/>
  <c r="I251" s="1"/>
  <c r="I183"/>
  <c r="N209"/>
  <c r="N183"/>
  <c r="S138" i="35"/>
  <c r="H138"/>
  <c r="L220" i="47"/>
  <c r="L218"/>
  <c r="L219"/>
  <c r="M187"/>
  <c r="K222"/>
  <c r="AA201"/>
  <c r="W82" i="24" s="1"/>
  <c r="Q201" i="47"/>
  <c r="M82" i="24" s="1"/>
  <c r="U204" i="47"/>
  <c r="O204"/>
  <c r="R204"/>
  <c r="K204"/>
  <c r="AC201"/>
  <c r="Y82" i="24" s="1"/>
  <c r="Q204" i="47"/>
  <c r="S204"/>
  <c r="AC204"/>
  <c r="P204"/>
  <c r="I122"/>
  <c r="I206" s="1"/>
  <c r="AD21"/>
  <c r="L204"/>
  <c r="M204"/>
  <c r="M246" s="1"/>
  <c r="AA204"/>
  <c r="H64"/>
  <c r="AD64" s="1"/>
  <c r="AD63"/>
  <c r="Y204"/>
  <c r="N122"/>
  <c r="N206" s="1"/>
  <c r="AB204"/>
  <c r="H57"/>
  <c r="AD57" s="1"/>
  <c r="AD56"/>
  <c r="J203"/>
  <c r="O203"/>
  <c r="P20" i="43"/>
  <c r="S30" i="47" s="1"/>
  <c r="S116" s="1"/>
  <c r="S29"/>
  <c r="W20" i="43"/>
  <c r="Z30" i="47" s="1"/>
  <c r="Z116" s="1"/>
  <c r="Z29"/>
  <c r="L201"/>
  <c r="H82" i="24" s="1"/>
  <c r="L221" i="47"/>
  <c r="H84"/>
  <c r="AD83"/>
  <c r="AB29"/>
  <c r="Y20" i="43"/>
  <c r="AB30" i="47" s="1"/>
  <c r="AB116" s="1"/>
  <c r="H29"/>
  <c r="E20" i="43"/>
  <c r="H30" i="47" s="1"/>
  <c r="N20" i="43"/>
  <c r="Q30" i="47" s="1"/>
  <c r="Q116" s="1"/>
  <c r="Q29"/>
  <c r="P203"/>
  <c r="AC178"/>
  <c r="AC179" s="1"/>
  <c r="AC113"/>
  <c r="AC176"/>
  <c r="AC134"/>
  <c r="AC139" s="1"/>
  <c r="AC180"/>
  <c r="AC181" s="1"/>
  <c r="O133"/>
  <c r="O132"/>
  <c r="L178"/>
  <c r="L179" s="1"/>
  <c r="L180"/>
  <c r="L181" s="1"/>
  <c r="L176"/>
  <c r="L113"/>
  <c r="K132"/>
  <c r="U180"/>
  <c r="U181" s="1"/>
  <c r="U113"/>
  <c r="U178"/>
  <c r="U179" s="1"/>
  <c r="U176"/>
  <c r="U177" s="1"/>
  <c r="W201"/>
  <c r="S82" i="24" s="1"/>
  <c r="P201" i="47"/>
  <c r="L82" i="24" s="1"/>
  <c r="M20" i="43"/>
  <c r="P30" i="47" s="1"/>
  <c r="P116" s="1"/>
  <c r="P29"/>
  <c r="X20" i="43"/>
  <c r="AA30" i="47" s="1"/>
  <c r="AA116" s="1"/>
  <c r="AA29"/>
  <c r="U20" i="43"/>
  <c r="X30" i="47" s="1"/>
  <c r="X116" s="1"/>
  <c r="X29"/>
  <c r="P176"/>
  <c r="P177" s="1"/>
  <c r="P180"/>
  <c r="P181" s="1"/>
  <c r="P178"/>
  <c r="P179" s="1"/>
  <c r="P113"/>
  <c r="AA134"/>
  <c r="AA139" s="1"/>
  <c r="AA176"/>
  <c r="AA178"/>
  <c r="AA179" s="1"/>
  <c r="AA180"/>
  <c r="AA181" s="1"/>
  <c r="AA113"/>
  <c r="X178"/>
  <c r="X179" s="1"/>
  <c r="X180"/>
  <c r="X181" s="1"/>
  <c r="X176"/>
  <c r="X113"/>
  <c r="AC133"/>
  <c r="AC132"/>
  <c r="U203"/>
  <c r="H200"/>
  <c r="H242" s="1"/>
  <c r="AD165"/>
  <c r="AG19" s="1"/>
  <c r="S132"/>
  <c r="M176"/>
  <c r="M177" s="1"/>
  <c r="M180"/>
  <c r="M181" s="1"/>
  <c r="M113"/>
  <c r="M178"/>
  <c r="M179" s="1"/>
  <c r="Z132"/>
  <c r="Z133"/>
  <c r="V201"/>
  <c r="R82" i="24" s="1"/>
  <c r="AB201" i="47"/>
  <c r="X82" i="24" s="1"/>
  <c r="S203" i="47"/>
  <c r="AB133"/>
  <c r="AB132"/>
  <c r="W113"/>
  <c r="W176"/>
  <c r="W178"/>
  <c r="W179" s="1"/>
  <c r="W180"/>
  <c r="W181" s="1"/>
  <c r="AD22"/>
  <c r="H132"/>
  <c r="Q180"/>
  <c r="Q181" s="1"/>
  <c r="Q113"/>
  <c r="Q178"/>
  <c r="Q179" s="1"/>
  <c r="Q176"/>
  <c r="Q132"/>
  <c r="Y203"/>
  <c r="H109"/>
  <c r="AD105"/>
  <c r="O20" i="43"/>
  <c r="R30" i="47" s="1"/>
  <c r="R116" s="1"/>
  <c r="R29"/>
  <c r="G20" i="43"/>
  <c r="J30" i="47" s="1"/>
  <c r="J116" s="1"/>
  <c r="J29"/>
  <c r="H124"/>
  <c r="AD24"/>
  <c r="V20" i="43"/>
  <c r="Y30" i="47" s="1"/>
  <c r="Y116" s="1"/>
  <c r="Y29"/>
  <c r="S20" i="43"/>
  <c r="V30" i="47" s="1"/>
  <c r="V116" s="1"/>
  <c r="V29"/>
  <c r="U201"/>
  <c r="Q82" i="24" s="1"/>
  <c r="S201" i="47"/>
  <c r="O82" i="24" s="1"/>
  <c r="R203" i="47"/>
  <c r="K203"/>
  <c r="P132"/>
  <c r="O113"/>
  <c r="O176"/>
  <c r="O178"/>
  <c r="O179" s="1"/>
  <c r="O180"/>
  <c r="O181" s="1"/>
  <c r="AA133"/>
  <c r="AA132"/>
  <c r="K113"/>
  <c r="K178"/>
  <c r="K179" s="1"/>
  <c r="K176"/>
  <c r="K177" s="1"/>
  <c r="K180"/>
  <c r="K181" s="1"/>
  <c r="X132"/>
  <c r="T113"/>
  <c r="T180"/>
  <c r="T181" s="1"/>
  <c r="T176"/>
  <c r="T178"/>
  <c r="T179" s="1"/>
  <c r="X203"/>
  <c r="T203"/>
  <c r="V203"/>
  <c r="W29"/>
  <c r="T20" i="43"/>
  <c r="W30" i="47" s="1"/>
  <c r="W116" s="1"/>
  <c r="Y201"/>
  <c r="U82" i="24" s="1"/>
  <c r="Q203" i="47"/>
  <c r="H91"/>
  <c r="AD90"/>
  <c r="Z20" i="43"/>
  <c r="AC30" i="47" s="1"/>
  <c r="AC116" s="1"/>
  <c r="AC29"/>
  <c r="L29"/>
  <c r="I20" i="43"/>
  <c r="L30" i="47" s="1"/>
  <c r="L116" s="1"/>
  <c r="R20" i="43"/>
  <c r="U30" i="47" s="1"/>
  <c r="U116" s="1"/>
  <c r="U29"/>
  <c r="R201"/>
  <c r="N82" i="24" s="1"/>
  <c r="AC203" i="47"/>
  <c r="AB203"/>
  <c r="R132"/>
  <c r="AB178"/>
  <c r="AB179" s="1"/>
  <c r="AB180"/>
  <c r="AB181" s="1"/>
  <c r="AB134"/>
  <c r="AB139" s="1"/>
  <c r="AB176"/>
  <c r="AB113"/>
  <c r="J132"/>
  <c r="H113"/>
  <c r="H180"/>
  <c r="AD23"/>
  <c r="H176"/>
  <c r="H178"/>
  <c r="Y133"/>
  <c r="Y132"/>
  <c r="V132"/>
  <c r="X201"/>
  <c r="T82" i="24" s="1"/>
  <c r="J20" i="43"/>
  <c r="M30" i="47" s="1"/>
  <c r="M116" s="1"/>
  <c r="M29"/>
  <c r="T29"/>
  <c r="Q20" i="43"/>
  <c r="T30" i="47" s="1"/>
  <c r="T116" s="1"/>
  <c r="T122" s="1"/>
  <c r="T206" s="1"/>
  <c r="AD20"/>
  <c r="AD171"/>
  <c r="W132"/>
  <c r="O201"/>
  <c r="K82" i="24" s="1"/>
  <c r="S113" i="47"/>
  <c r="S176"/>
  <c r="S178"/>
  <c r="S179" s="1"/>
  <c r="S180"/>
  <c r="S181" s="1"/>
  <c r="L132"/>
  <c r="Z113"/>
  <c r="Z134"/>
  <c r="Z139" s="1"/>
  <c r="Z178"/>
  <c r="Z179" s="1"/>
  <c r="Z180"/>
  <c r="Z181" s="1"/>
  <c r="Z176"/>
  <c r="U132"/>
  <c r="V113"/>
  <c r="V176"/>
  <c r="V177" s="1"/>
  <c r="V178"/>
  <c r="V179" s="1"/>
  <c r="V180"/>
  <c r="V181" s="1"/>
  <c r="W203"/>
  <c r="L203"/>
  <c r="M203"/>
  <c r="L20" i="43"/>
  <c r="O30" i="47" s="1"/>
  <c r="O116" s="1"/>
  <c r="O29"/>
  <c r="H20" i="43"/>
  <c r="K30" i="47" s="1"/>
  <c r="K116" s="1"/>
  <c r="K29"/>
  <c r="T201"/>
  <c r="P82" i="24" s="1"/>
  <c r="Z203" i="47"/>
  <c r="AA203"/>
  <c r="R113"/>
  <c r="R176"/>
  <c r="R177" s="1"/>
  <c r="R178"/>
  <c r="R179" s="1"/>
  <c r="R180"/>
  <c r="R181" s="1"/>
  <c r="M132"/>
  <c r="J176"/>
  <c r="J177" s="1"/>
  <c r="J113"/>
  <c r="J178"/>
  <c r="J179" s="1"/>
  <c r="J180"/>
  <c r="J181" s="1"/>
  <c r="T132"/>
  <c r="Y134"/>
  <c r="Y139" s="1"/>
  <c r="Y178"/>
  <c r="Y179" s="1"/>
  <c r="Y176"/>
  <c r="Y177" s="1"/>
  <c r="Y113"/>
  <c r="Y180"/>
  <c r="Y181" s="1"/>
  <c r="H207" i="46"/>
  <c r="G142" i="34"/>
  <c r="F142"/>
  <c r="N187" i="46"/>
  <c r="O189" i="45"/>
  <c r="L91" i="35"/>
  <c r="AA138"/>
  <c r="Q138"/>
  <c r="N138"/>
  <c r="U138"/>
  <c r="G138"/>
  <c r="J138"/>
  <c r="R138"/>
  <c r="S91"/>
  <c r="S155" s="1"/>
  <c r="L138"/>
  <c r="P138"/>
  <c r="T138"/>
  <c r="AC138"/>
  <c r="W138"/>
  <c r="V138"/>
  <c r="I138"/>
  <c r="M138"/>
  <c r="K138"/>
  <c r="K79" i="32"/>
  <c r="K10" s="1"/>
  <c r="N15" i="35" s="1"/>
  <c r="N80" s="1"/>
  <c r="K72" i="32"/>
  <c r="K5" s="1"/>
  <c r="N10" i="35" s="1"/>
  <c r="N54" s="1"/>
  <c r="J94" i="32"/>
  <c r="J93"/>
  <c r="J92"/>
  <c r="J91"/>
  <c r="J90"/>
  <c r="J89"/>
  <c r="J88"/>
  <c r="K85"/>
  <c r="K86" s="1"/>
  <c r="H64"/>
  <c r="H63"/>
  <c r="H62"/>
  <c r="H61"/>
  <c r="H60"/>
  <c r="H59"/>
  <c r="H58"/>
  <c r="J64"/>
  <c r="J63"/>
  <c r="J62"/>
  <c r="J61"/>
  <c r="J60"/>
  <c r="J59"/>
  <c r="J58"/>
  <c r="U63"/>
  <c r="U62"/>
  <c r="U64"/>
  <c r="U61"/>
  <c r="U60"/>
  <c r="U59"/>
  <c r="U58"/>
  <c r="Z64"/>
  <c r="Z63"/>
  <c r="Z62"/>
  <c r="Z61"/>
  <c r="Z60"/>
  <c r="Z59"/>
  <c r="Z58"/>
  <c r="Y64"/>
  <c r="Y63"/>
  <c r="Y60"/>
  <c r="Y59"/>
  <c r="Y58"/>
  <c r="Y62"/>
  <c r="Y61"/>
  <c r="D64"/>
  <c r="D63"/>
  <c r="D62"/>
  <c r="D61"/>
  <c r="D60"/>
  <c r="D59"/>
  <c r="D58"/>
  <c r="D72" s="1"/>
  <c r="F64"/>
  <c r="F63"/>
  <c r="F62"/>
  <c r="F61"/>
  <c r="F60"/>
  <c r="F59"/>
  <c r="F58"/>
  <c r="W64"/>
  <c r="W63"/>
  <c r="W62"/>
  <c r="W61"/>
  <c r="W60"/>
  <c r="W59"/>
  <c r="W58"/>
  <c r="V64"/>
  <c r="V63"/>
  <c r="V62"/>
  <c r="V61"/>
  <c r="V60"/>
  <c r="V59"/>
  <c r="V58"/>
  <c r="T64"/>
  <c r="T63"/>
  <c r="T62"/>
  <c r="T61"/>
  <c r="T60"/>
  <c r="T59"/>
  <c r="T58"/>
  <c r="X64"/>
  <c r="X63"/>
  <c r="X62"/>
  <c r="X61"/>
  <c r="X60"/>
  <c r="X59"/>
  <c r="X58"/>
  <c r="I62"/>
  <c r="I58"/>
  <c r="I64"/>
  <c r="I63"/>
  <c r="I61"/>
  <c r="I60"/>
  <c r="I59"/>
  <c r="G64"/>
  <c r="G63"/>
  <c r="G62"/>
  <c r="G61"/>
  <c r="G60"/>
  <c r="G59"/>
  <c r="G58"/>
  <c r="R64"/>
  <c r="R63"/>
  <c r="R62"/>
  <c r="R61"/>
  <c r="R60"/>
  <c r="R59"/>
  <c r="R58"/>
  <c r="Q62"/>
  <c r="Q61"/>
  <c r="Q59"/>
  <c r="Q58"/>
  <c r="Q64"/>
  <c r="Q63"/>
  <c r="Q60"/>
  <c r="P64"/>
  <c r="P63"/>
  <c r="P62"/>
  <c r="P61"/>
  <c r="P60"/>
  <c r="P59"/>
  <c r="P58"/>
  <c r="S64"/>
  <c r="S63"/>
  <c r="S62"/>
  <c r="S61"/>
  <c r="S60"/>
  <c r="S59"/>
  <c r="S58"/>
  <c r="E64"/>
  <c r="E61"/>
  <c r="E63"/>
  <c r="E62"/>
  <c r="E60"/>
  <c r="E59"/>
  <c r="E58"/>
  <c r="C64"/>
  <c r="C63"/>
  <c r="C62"/>
  <c r="C61"/>
  <c r="C60"/>
  <c r="C59"/>
  <c r="C79" s="1"/>
  <c r="C58"/>
  <c r="N64"/>
  <c r="N63"/>
  <c r="N62"/>
  <c r="N61"/>
  <c r="N60"/>
  <c r="N59"/>
  <c r="N58"/>
  <c r="M64"/>
  <c r="M63"/>
  <c r="M62"/>
  <c r="M61"/>
  <c r="M60"/>
  <c r="M59"/>
  <c r="M58"/>
  <c r="L64"/>
  <c r="L63"/>
  <c r="L62"/>
  <c r="L61"/>
  <c r="L60"/>
  <c r="L59"/>
  <c r="L58"/>
  <c r="O64"/>
  <c r="O63"/>
  <c r="O62"/>
  <c r="O61"/>
  <c r="O60"/>
  <c r="O59"/>
  <c r="O58"/>
  <c r="AC91" i="35"/>
  <c r="AC155" s="1"/>
  <c r="F138"/>
  <c r="AB138"/>
  <c r="Z138"/>
  <c r="Y138"/>
  <c r="X138"/>
  <c r="F226"/>
  <c r="F149"/>
  <c r="F65"/>
  <c r="AD64"/>
  <c r="AA149"/>
  <c r="S149"/>
  <c r="G149"/>
  <c r="G150" s="1"/>
  <c r="G65"/>
  <c r="G66" s="1"/>
  <c r="Z121"/>
  <c r="V121"/>
  <c r="R121"/>
  <c r="N121"/>
  <c r="J121"/>
  <c r="F121"/>
  <c r="AA121"/>
  <c r="W121"/>
  <c r="S121"/>
  <c r="O121"/>
  <c r="K121"/>
  <c r="G121"/>
  <c r="AB121"/>
  <c r="X121"/>
  <c r="T121"/>
  <c r="P121"/>
  <c r="L121"/>
  <c r="H121"/>
  <c r="AC121"/>
  <c r="Y121"/>
  <c r="U121"/>
  <c r="Q121"/>
  <c r="M121"/>
  <c r="I121"/>
  <c r="AC149"/>
  <c r="H149"/>
  <c r="I149"/>
  <c r="D139"/>
  <c r="D135"/>
  <c r="D151"/>
  <c r="F72"/>
  <c r="G72"/>
  <c r="G73" s="1"/>
  <c r="J149"/>
  <c r="K149"/>
  <c r="M91"/>
  <c r="Y91"/>
  <c r="K91"/>
  <c r="T91"/>
  <c r="O91"/>
  <c r="AB91"/>
  <c r="L149"/>
  <c r="M149"/>
  <c r="N149"/>
  <c r="P149"/>
  <c r="AD137"/>
  <c r="U91"/>
  <c r="Q91"/>
  <c r="Z91"/>
  <c r="R91"/>
  <c r="J91"/>
  <c r="W91"/>
  <c r="H91"/>
  <c r="Q149"/>
  <c r="W149"/>
  <c r="O149"/>
  <c r="R149"/>
  <c r="T149"/>
  <c r="U149"/>
  <c r="AD122"/>
  <c r="P91"/>
  <c r="AA91"/>
  <c r="X91"/>
  <c r="F228"/>
  <c r="V149"/>
  <c r="X149"/>
  <c r="Y149"/>
  <c r="D157"/>
  <c r="F99"/>
  <c r="G99"/>
  <c r="G100" s="1"/>
  <c r="Z149"/>
  <c r="AD85"/>
  <c r="F91"/>
  <c r="AD136"/>
  <c r="I91"/>
  <c r="V91"/>
  <c r="N91"/>
  <c r="G91"/>
  <c r="D216" i="29"/>
  <c r="D187" i="9"/>
  <c r="D186"/>
  <c r="D185"/>
  <c r="D198"/>
  <c r="D197"/>
  <c r="D192"/>
  <c r="D255" i="29" s="1"/>
  <c r="T192" i="9"/>
  <c r="T191"/>
  <c r="C191" s="1"/>
  <c r="D191" s="1"/>
  <c r="D253" i="29" s="1"/>
  <c r="T190" i="9"/>
  <c r="H282" i="35" l="1"/>
  <c r="H283"/>
  <c r="I249"/>
  <c r="H304"/>
  <c r="H303"/>
  <c r="I251"/>
  <c r="G234"/>
  <c r="M241" i="47"/>
  <c r="M240"/>
  <c r="M239"/>
  <c r="N189"/>
  <c r="N251"/>
  <c r="M247"/>
  <c r="I230"/>
  <c r="S182" i="46"/>
  <c r="M242"/>
  <c r="M241"/>
  <c r="M240"/>
  <c r="M246"/>
  <c r="M243"/>
  <c r="M247"/>
  <c r="M248"/>
  <c r="N189"/>
  <c r="N252" s="1"/>
  <c r="J210"/>
  <c r="J252" s="1"/>
  <c r="V210"/>
  <c r="K182"/>
  <c r="AC182"/>
  <c r="O182"/>
  <c r="L182"/>
  <c r="O245" i="45"/>
  <c r="O244"/>
  <c r="O243"/>
  <c r="O246"/>
  <c r="O250"/>
  <c r="O249"/>
  <c r="O251"/>
  <c r="O252"/>
  <c r="H217" i="44"/>
  <c r="H238"/>
  <c r="J224" i="47"/>
  <c r="J245"/>
  <c r="J228" i="46"/>
  <c r="J249"/>
  <c r="L228"/>
  <c r="L249"/>
  <c r="H182"/>
  <c r="AD176"/>
  <c r="M224" i="47"/>
  <c r="M245"/>
  <c r="P182" i="46"/>
  <c r="P210"/>
  <c r="M210"/>
  <c r="M182"/>
  <c r="AD177" i="45"/>
  <c r="H178"/>
  <c r="AD178" s="1"/>
  <c r="H121"/>
  <c r="AD112"/>
  <c r="H124"/>
  <c r="AD124" s="1"/>
  <c r="AD123"/>
  <c r="AD121" i="46"/>
  <c r="R182"/>
  <c r="AD179"/>
  <c r="Q210"/>
  <c r="K210"/>
  <c r="AD131"/>
  <c r="G232" i="35"/>
  <c r="AD112" i="46"/>
  <c r="T182"/>
  <c r="T210"/>
  <c r="L210"/>
  <c r="O210"/>
  <c r="AD175"/>
  <c r="K225" i="47"/>
  <c r="K246"/>
  <c r="K224"/>
  <c r="K245"/>
  <c r="J252" i="45"/>
  <c r="J231"/>
  <c r="X210" i="46"/>
  <c r="X182"/>
  <c r="AA210"/>
  <c r="AA182"/>
  <c r="H210"/>
  <c r="AD178"/>
  <c r="H180" i="45"/>
  <c r="AD180" s="1"/>
  <c r="AD179"/>
  <c r="AB210" i="46"/>
  <c r="AB182"/>
  <c r="F232" i="35"/>
  <c r="H228" i="46"/>
  <c r="H249"/>
  <c r="L225" i="47"/>
  <c r="L246"/>
  <c r="K252" i="45"/>
  <c r="K231"/>
  <c r="Y182" i="46"/>
  <c r="Y210"/>
  <c r="Z182"/>
  <c r="Z210"/>
  <c r="AD131" i="45"/>
  <c r="L224" i="47"/>
  <c r="L245"/>
  <c r="I227"/>
  <c r="I248"/>
  <c r="U182" i="46"/>
  <c r="U210"/>
  <c r="K228"/>
  <c r="K249"/>
  <c r="I252" i="45"/>
  <c r="I231"/>
  <c r="I252" i="46"/>
  <c r="I231"/>
  <c r="H176" i="45"/>
  <c r="AD176" s="1"/>
  <c r="AD175"/>
  <c r="AD177" i="46"/>
  <c r="R210"/>
  <c r="S210"/>
  <c r="J182"/>
  <c r="AD180"/>
  <c r="V182"/>
  <c r="W210"/>
  <c r="AC210"/>
  <c r="M238" i="44"/>
  <c r="M237"/>
  <c r="M236"/>
  <c r="N183"/>
  <c r="M216"/>
  <c r="M217"/>
  <c r="M215"/>
  <c r="N181"/>
  <c r="M224" i="45"/>
  <c r="M223"/>
  <c r="M222"/>
  <c r="M231"/>
  <c r="M225"/>
  <c r="M226" s="1"/>
  <c r="M229"/>
  <c r="M228"/>
  <c r="M230"/>
  <c r="N187"/>
  <c r="N221" i="46"/>
  <c r="N219"/>
  <c r="N220"/>
  <c r="N222"/>
  <c r="N223" s="1"/>
  <c r="N226"/>
  <c r="N225"/>
  <c r="N231"/>
  <c r="N228"/>
  <c r="N227"/>
  <c r="J209" i="47"/>
  <c r="J251" s="1"/>
  <c r="J183"/>
  <c r="K183"/>
  <c r="K209"/>
  <c r="P209"/>
  <c r="P183"/>
  <c r="L222"/>
  <c r="M225"/>
  <c r="M209"/>
  <c r="M251" s="1"/>
  <c r="M183"/>
  <c r="R209"/>
  <c r="R183"/>
  <c r="Y209"/>
  <c r="Y183"/>
  <c r="V209"/>
  <c r="V183"/>
  <c r="U183"/>
  <c r="U209"/>
  <c r="F143" i="34"/>
  <c r="B94" i="24" s="1"/>
  <c r="G143" i="34"/>
  <c r="C94" i="24" s="1"/>
  <c r="F264" i="35"/>
  <c r="G285"/>
  <c r="G286" s="1"/>
  <c r="G265"/>
  <c r="C92" i="24" s="1"/>
  <c r="M220" i="47"/>
  <c r="M218"/>
  <c r="M219"/>
  <c r="N187"/>
  <c r="N227" s="1"/>
  <c r="M221"/>
  <c r="N230"/>
  <c r="M226"/>
  <c r="K122"/>
  <c r="K206" s="1"/>
  <c r="M122"/>
  <c r="M206" s="1"/>
  <c r="U122"/>
  <c r="U206" s="1"/>
  <c r="AC122"/>
  <c r="AC206" s="1"/>
  <c r="O122"/>
  <c r="O206" s="1"/>
  <c r="L122"/>
  <c r="L206" s="1"/>
  <c r="W122"/>
  <c r="W206" s="1"/>
  <c r="AG18"/>
  <c r="Q122"/>
  <c r="Q206" s="1"/>
  <c r="S122"/>
  <c r="S206" s="1"/>
  <c r="V122"/>
  <c r="V206" s="1"/>
  <c r="P122"/>
  <c r="P206" s="1"/>
  <c r="AD176"/>
  <c r="H177"/>
  <c r="W177"/>
  <c r="Y122"/>
  <c r="Y206" s="1"/>
  <c r="R122"/>
  <c r="R206" s="1"/>
  <c r="X122"/>
  <c r="X206" s="1"/>
  <c r="AD29"/>
  <c r="AB122"/>
  <c r="AB206" s="1"/>
  <c r="AD178"/>
  <c r="H179"/>
  <c r="AD179" s="1"/>
  <c r="AB177"/>
  <c r="H204"/>
  <c r="AD91"/>
  <c r="O177"/>
  <c r="Q177"/>
  <c r="AD132"/>
  <c r="H221"/>
  <c r="H201"/>
  <c r="D82" i="24" s="1"/>
  <c r="AA177" i="47"/>
  <c r="AD113"/>
  <c r="AA122"/>
  <c r="AA206" s="1"/>
  <c r="Z122"/>
  <c r="Z206" s="1"/>
  <c r="S177"/>
  <c r="H181"/>
  <c r="AD181" s="1"/>
  <c r="AD180"/>
  <c r="T177"/>
  <c r="H125"/>
  <c r="AD125" s="1"/>
  <c r="AD124"/>
  <c r="H205"/>
  <c r="AD109"/>
  <c r="L177"/>
  <c r="AD84"/>
  <c r="H203"/>
  <c r="D203" s="1"/>
  <c r="D202" s="1"/>
  <c r="Z177"/>
  <c r="X177"/>
  <c r="AC177"/>
  <c r="H116"/>
  <c r="AD30"/>
  <c r="J122"/>
  <c r="J206" s="1"/>
  <c r="O187" i="46"/>
  <c r="P189" i="45"/>
  <c r="L155" i="35"/>
  <c r="N79" i="32"/>
  <c r="N10" s="1"/>
  <c r="Q15" i="35" s="1"/>
  <c r="Q80" s="1"/>
  <c r="S72" i="32"/>
  <c r="S5" s="1"/>
  <c r="V10" i="35" s="1"/>
  <c r="P79" i="32"/>
  <c r="P10" s="1"/>
  <c r="S15" i="35" s="1"/>
  <c r="S80" s="1"/>
  <c r="G72" i="32"/>
  <c r="G5" s="1"/>
  <c r="J10" i="35" s="1"/>
  <c r="I72" i="32"/>
  <c r="I5" s="1"/>
  <c r="L10" i="35" s="1"/>
  <c r="O79" i="32"/>
  <c r="O10" s="1"/>
  <c r="R15" i="35" s="1"/>
  <c r="R80" s="1"/>
  <c r="N72" i="32"/>
  <c r="N5" s="1"/>
  <c r="Q10" i="35" s="1"/>
  <c r="P72" i="32"/>
  <c r="P5" s="1"/>
  <c r="S10" i="35" s="1"/>
  <c r="I79" i="32"/>
  <c r="I10" s="1"/>
  <c r="L15" i="35" s="1"/>
  <c r="L80" s="1"/>
  <c r="X79" i="32"/>
  <c r="X10" s="1"/>
  <c r="AA15" i="35" s="1"/>
  <c r="AA80" s="1"/>
  <c r="W72" i="32"/>
  <c r="W5" s="1"/>
  <c r="Z10" i="35" s="1"/>
  <c r="F79" i="32"/>
  <c r="F10" s="1"/>
  <c r="I15" i="35" s="1"/>
  <c r="I80" s="1"/>
  <c r="Y79" i="32"/>
  <c r="Y10" s="1"/>
  <c r="AB15" i="35" s="1"/>
  <c r="AB80" s="1"/>
  <c r="Z72" i="32"/>
  <c r="Z5" s="1"/>
  <c r="AC10" i="35" s="1"/>
  <c r="U79" i="32"/>
  <c r="U10" s="1"/>
  <c r="X15" i="35" s="1"/>
  <c r="X80" s="1"/>
  <c r="K94" i="32"/>
  <c r="K93"/>
  <c r="K92"/>
  <c r="K91"/>
  <c r="K90"/>
  <c r="K89"/>
  <c r="K88"/>
  <c r="K75"/>
  <c r="K7" s="1"/>
  <c r="N12" i="35" s="1"/>
  <c r="N148" s="1"/>
  <c r="N150" s="1"/>
  <c r="K74" i="32"/>
  <c r="K6" s="1"/>
  <c r="N11" i="35" s="1"/>
  <c r="O72" i="32"/>
  <c r="O5" s="1"/>
  <c r="R10" i="35" s="1"/>
  <c r="L79" i="32"/>
  <c r="L10" s="1"/>
  <c r="O15" i="35" s="1"/>
  <c r="O80" s="1"/>
  <c r="C69" i="32"/>
  <c r="C72"/>
  <c r="E79"/>
  <c r="Q79"/>
  <c r="Q10" s="1"/>
  <c r="T15" i="35" s="1"/>
  <c r="T80" s="1"/>
  <c r="R79" i="32"/>
  <c r="R10" s="1"/>
  <c r="U15" i="35" s="1"/>
  <c r="U80" s="1"/>
  <c r="X72" i="32"/>
  <c r="X5" s="1"/>
  <c r="AA10" i="35" s="1"/>
  <c r="T79" i="32"/>
  <c r="T10" s="1"/>
  <c r="W15" i="35" s="1"/>
  <c r="W80" s="1"/>
  <c r="F72" i="32"/>
  <c r="F5" s="1"/>
  <c r="I10" i="35" s="1"/>
  <c r="D79" i="32"/>
  <c r="Y72"/>
  <c r="Y5" s="1"/>
  <c r="AB10" i="35" s="1"/>
  <c r="U72" i="32"/>
  <c r="U5" s="1"/>
  <c r="X10" i="35" s="1"/>
  <c r="J79" i="32"/>
  <c r="J10" s="1"/>
  <c r="M15" i="35" s="1"/>
  <c r="M80" s="1"/>
  <c r="L72" i="32"/>
  <c r="L5" s="1"/>
  <c r="O10" i="35" s="1"/>
  <c r="M79" i="32"/>
  <c r="M10" s="1"/>
  <c r="P15" i="35" s="1"/>
  <c r="P80" s="1"/>
  <c r="S79" i="32"/>
  <c r="S10" s="1"/>
  <c r="V15" i="35" s="1"/>
  <c r="V80" s="1"/>
  <c r="Q72" i="32"/>
  <c r="Q5" s="1"/>
  <c r="T10" i="35" s="1"/>
  <c r="R72" i="32"/>
  <c r="R5" s="1"/>
  <c r="U10" i="35" s="1"/>
  <c r="G79" i="32"/>
  <c r="G10" s="1"/>
  <c r="J15" i="35" s="1"/>
  <c r="J80" s="1"/>
  <c r="T72" i="32"/>
  <c r="T5" s="1"/>
  <c r="W10" i="35" s="1"/>
  <c r="V79" i="32"/>
  <c r="V10" s="1"/>
  <c r="Y15" i="35" s="1"/>
  <c r="Y80" s="1"/>
  <c r="J72" i="32"/>
  <c r="J5" s="1"/>
  <c r="M10" i="35" s="1"/>
  <c r="H79" i="32"/>
  <c r="H10" s="1"/>
  <c r="K15" i="35" s="1"/>
  <c r="K80" s="1"/>
  <c r="K81" i="32"/>
  <c r="K11" s="1"/>
  <c r="K82"/>
  <c r="K12" s="1"/>
  <c r="N17" i="35" s="1"/>
  <c r="N154" s="1"/>
  <c r="N157" s="1"/>
  <c r="M72" i="32"/>
  <c r="M5" s="1"/>
  <c r="P10" i="35" s="1"/>
  <c r="V72" i="32"/>
  <c r="V5" s="1"/>
  <c r="Y10" i="35" s="1"/>
  <c r="W79" i="32"/>
  <c r="W10" s="1"/>
  <c r="Z15" i="35" s="1"/>
  <c r="Z80" s="1"/>
  <c r="Z79" i="32"/>
  <c r="Z10" s="1"/>
  <c r="AC15" i="35" s="1"/>
  <c r="AC80" s="1"/>
  <c r="H72" i="32"/>
  <c r="H5" s="1"/>
  <c r="K10" i="35" s="1"/>
  <c r="L85" i="32"/>
  <c r="L86" s="1"/>
  <c r="AD138" i="35"/>
  <c r="I155"/>
  <c r="AA155"/>
  <c r="H155"/>
  <c r="Z155"/>
  <c r="Y155"/>
  <c r="AD149"/>
  <c r="F150"/>
  <c r="F155"/>
  <c r="F92"/>
  <c r="AD91"/>
  <c r="F157"/>
  <c r="G157"/>
  <c r="X155"/>
  <c r="R155"/>
  <c r="AB155"/>
  <c r="K155"/>
  <c r="AC139"/>
  <c r="Y139"/>
  <c r="U139"/>
  <c r="Q139"/>
  <c r="M139"/>
  <c r="I139"/>
  <c r="X139"/>
  <c r="S139"/>
  <c r="N139"/>
  <c r="H139"/>
  <c r="Z139"/>
  <c r="T139"/>
  <c r="O139"/>
  <c r="J139"/>
  <c r="AA139"/>
  <c r="V139"/>
  <c r="P139"/>
  <c r="K139"/>
  <c r="F139"/>
  <c r="D167"/>
  <c r="AB139"/>
  <c r="W139"/>
  <c r="R139"/>
  <c r="L139"/>
  <c r="G139"/>
  <c r="F66"/>
  <c r="V155"/>
  <c r="J155"/>
  <c r="U155"/>
  <c r="M155"/>
  <c r="F73"/>
  <c r="AC135"/>
  <c r="Y135"/>
  <c r="U135"/>
  <c r="Q135"/>
  <c r="M135"/>
  <c r="I135"/>
  <c r="AA135"/>
  <c r="V135"/>
  <c r="P135"/>
  <c r="K135"/>
  <c r="F135"/>
  <c r="AB135"/>
  <c r="W135"/>
  <c r="R135"/>
  <c r="L135"/>
  <c r="G135"/>
  <c r="X135"/>
  <c r="S135"/>
  <c r="N135"/>
  <c r="H135"/>
  <c r="D162"/>
  <c r="Z135"/>
  <c r="T135"/>
  <c r="O135"/>
  <c r="J135"/>
  <c r="AD121"/>
  <c r="N155"/>
  <c r="F100"/>
  <c r="W155"/>
  <c r="T155"/>
  <c r="G151"/>
  <c r="F151"/>
  <c r="G155"/>
  <c r="G156" s="1"/>
  <c r="G92"/>
  <c r="G93" s="1"/>
  <c r="P155"/>
  <c r="Q155"/>
  <c r="O155"/>
  <c r="H253" i="29"/>
  <c r="H261"/>
  <c r="G261"/>
  <c r="F261"/>
  <c r="F259"/>
  <c r="H259"/>
  <c r="G259"/>
  <c r="G255"/>
  <c r="F255"/>
  <c r="H255"/>
  <c r="F253"/>
  <c r="G253"/>
  <c r="J231" i="46" l="1"/>
  <c r="N220" i="35"/>
  <c r="N221" s="1"/>
  <c r="E10" i="32"/>
  <c r="H15" i="35" s="1"/>
  <c r="E81" i="32"/>
  <c r="E11" s="1"/>
  <c r="H16" i="35" s="1"/>
  <c r="H83" s="1"/>
  <c r="J249"/>
  <c r="I283"/>
  <c r="I282"/>
  <c r="N218"/>
  <c r="N219" s="1"/>
  <c r="J251"/>
  <c r="I304"/>
  <c r="I303"/>
  <c r="N241" i="47"/>
  <c r="N239"/>
  <c r="N240"/>
  <c r="N247"/>
  <c r="N242"/>
  <c r="N246"/>
  <c r="N245"/>
  <c r="O189"/>
  <c r="J230"/>
  <c r="M230"/>
  <c r="O248"/>
  <c r="N248"/>
  <c r="N242" i="46"/>
  <c r="N241"/>
  <c r="N240"/>
  <c r="N243"/>
  <c r="N247"/>
  <c r="N246"/>
  <c r="N248"/>
  <c r="O189"/>
  <c r="N249"/>
  <c r="O252"/>
  <c r="P245" i="45"/>
  <c r="P244"/>
  <c r="P243"/>
  <c r="P246"/>
  <c r="P249"/>
  <c r="P250"/>
  <c r="P251"/>
  <c r="P252"/>
  <c r="K54" i="35"/>
  <c r="P54"/>
  <c r="M54"/>
  <c r="U54"/>
  <c r="O54"/>
  <c r="Z54"/>
  <c r="Q54"/>
  <c r="H226" i="47"/>
  <c r="H247"/>
  <c r="H225"/>
  <c r="H246"/>
  <c r="K230"/>
  <c r="K251"/>
  <c r="L252" i="46"/>
  <c r="L231"/>
  <c r="H210" i="45"/>
  <c r="AD121"/>
  <c r="M252" i="46"/>
  <c r="M231"/>
  <c r="T54" i="35"/>
  <c r="V54"/>
  <c r="Y54"/>
  <c r="AB54"/>
  <c r="AA54"/>
  <c r="N214"/>
  <c r="N215" s="1"/>
  <c r="N212"/>
  <c r="N213" s="1"/>
  <c r="S54"/>
  <c r="J54"/>
  <c r="J227" i="47"/>
  <c r="J248"/>
  <c r="H224"/>
  <c r="H245"/>
  <c r="K227"/>
  <c r="K248"/>
  <c r="F285" i="35"/>
  <c r="F306"/>
  <c r="H231" i="46"/>
  <c r="H252"/>
  <c r="AC54" i="35"/>
  <c r="W54"/>
  <c r="X54"/>
  <c r="R54"/>
  <c r="L54"/>
  <c r="L227" i="47"/>
  <c r="L248"/>
  <c r="M227"/>
  <c r="M248"/>
  <c r="K252" i="46"/>
  <c r="K231"/>
  <c r="N238" i="44"/>
  <c r="N236"/>
  <c r="N237"/>
  <c r="O183"/>
  <c r="N215"/>
  <c r="N216"/>
  <c r="N217"/>
  <c r="O181"/>
  <c r="N224" i="45"/>
  <c r="N223"/>
  <c r="N222"/>
  <c r="N231"/>
  <c r="N229"/>
  <c r="N225"/>
  <c r="N228"/>
  <c r="N230"/>
  <c r="O187"/>
  <c r="O221" i="46"/>
  <c r="O219"/>
  <c r="O220"/>
  <c r="O222"/>
  <c r="O225"/>
  <c r="O226"/>
  <c r="O231"/>
  <c r="O227"/>
  <c r="O228"/>
  <c r="T183" i="47"/>
  <c r="T209"/>
  <c r="X183"/>
  <c r="X209"/>
  <c r="AA183"/>
  <c r="AA209"/>
  <c r="AB209"/>
  <c r="AB183"/>
  <c r="W183"/>
  <c r="W209"/>
  <c r="H209"/>
  <c r="H183"/>
  <c r="AC183"/>
  <c r="AC209"/>
  <c r="Q209"/>
  <c r="Q183"/>
  <c r="Z209"/>
  <c r="Z183"/>
  <c r="L209"/>
  <c r="L183"/>
  <c r="S183"/>
  <c r="S209"/>
  <c r="O183"/>
  <c r="O209"/>
  <c r="O251" s="1"/>
  <c r="N151" i="35"/>
  <c r="N220" i="47"/>
  <c r="N218"/>
  <c r="N219"/>
  <c r="N226"/>
  <c r="N221"/>
  <c r="N224"/>
  <c r="N225"/>
  <c r="O187"/>
  <c r="O227" s="1"/>
  <c r="M222"/>
  <c r="H122"/>
  <c r="AD116"/>
  <c r="H222"/>
  <c r="AD177"/>
  <c r="P187" i="46"/>
  <c r="Q189" i="45"/>
  <c r="N156" i="35"/>
  <c r="N56"/>
  <c r="AD10"/>
  <c r="K31" i="32"/>
  <c r="N29" i="35" s="1"/>
  <c r="K34" i="32"/>
  <c r="N16" i="35"/>
  <c r="K33" i="32"/>
  <c r="N31" i="35" s="1"/>
  <c r="U82" i="32"/>
  <c r="U12" s="1"/>
  <c r="X17" i="35" s="1"/>
  <c r="X154" s="1"/>
  <c r="X157" s="1"/>
  <c r="U81" i="32"/>
  <c r="U11" s="1"/>
  <c r="Y82"/>
  <c r="Y12" s="1"/>
  <c r="AB17" i="35" s="1"/>
  <c r="AB154" s="1"/>
  <c r="AB157" s="1"/>
  <c r="Y81" i="32"/>
  <c r="Y11" s="1"/>
  <c r="W75"/>
  <c r="W7" s="1"/>
  <c r="Z12" i="35" s="1"/>
  <c r="Z148" s="1"/>
  <c r="W74" i="32"/>
  <c r="W6" s="1"/>
  <c r="Z11" i="35" s="1"/>
  <c r="N74" i="32"/>
  <c r="N6" s="1"/>
  <c r="Q11" i="35" s="1"/>
  <c r="N75" i="32"/>
  <c r="N7" s="1"/>
  <c r="Q12" i="35" s="1"/>
  <c r="Q148" s="1"/>
  <c r="I74" i="32"/>
  <c r="I6" s="1"/>
  <c r="L11" i="35" s="1"/>
  <c r="L218" s="1"/>
  <c r="L219" s="1"/>
  <c r="I75" i="32"/>
  <c r="I7" s="1"/>
  <c r="L12" i="35" s="1"/>
  <c r="L148" s="1"/>
  <c r="P81" i="32"/>
  <c r="P11" s="1"/>
  <c r="P82"/>
  <c r="P12" s="1"/>
  <c r="S17" i="35" s="1"/>
  <c r="S154" s="1"/>
  <c r="N82" i="32"/>
  <c r="N12" s="1"/>
  <c r="Q17" i="35" s="1"/>
  <c r="Q154" s="1"/>
  <c r="Q157" s="1"/>
  <c r="N81" i="32"/>
  <c r="N11" s="1"/>
  <c r="H75"/>
  <c r="H7" s="1"/>
  <c r="K12" i="35" s="1"/>
  <c r="K148" s="1"/>
  <c r="H74" i="32"/>
  <c r="H6" s="1"/>
  <c r="K11" i="35" s="1"/>
  <c r="W81" i="32"/>
  <c r="W11" s="1"/>
  <c r="W82"/>
  <c r="W12" s="1"/>
  <c r="Z17" i="35" s="1"/>
  <c r="Z154" s="1"/>
  <c r="Z157" s="1"/>
  <c r="M74" i="32"/>
  <c r="M6" s="1"/>
  <c r="P11" i="35" s="1"/>
  <c r="M75" i="32"/>
  <c r="M7" s="1"/>
  <c r="P12" i="35" s="1"/>
  <c r="P148" s="1"/>
  <c r="H82" i="32"/>
  <c r="H12" s="1"/>
  <c r="K17" i="35" s="1"/>
  <c r="K154" s="1"/>
  <c r="K157" s="1"/>
  <c r="H81" i="32"/>
  <c r="H11" s="1"/>
  <c r="V82"/>
  <c r="V12" s="1"/>
  <c r="Y17" i="35" s="1"/>
  <c r="Y154" s="1"/>
  <c r="Y157" s="1"/>
  <c r="V81" i="32"/>
  <c r="V11" s="1"/>
  <c r="G81"/>
  <c r="G11" s="1"/>
  <c r="G82"/>
  <c r="G12" s="1"/>
  <c r="J17" i="35" s="1"/>
  <c r="J154" s="1"/>
  <c r="J157" s="1"/>
  <c r="Q74" i="32"/>
  <c r="Q6" s="1"/>
  <c r="T11" i="35" s="1"/>
  <c r="Q75" i="32"/>
  <c r="Q7" s="1"/>
  <c r="T12" i="35" s="1"/>
  <c r="T148" s="1"/>
  <c r="E75" i="32"/>
  <c r="E7" s="1"/>
  <c r="H12" i="35" s="1"/>
  <c r="H148" s="1"/>
  <c r="E74" i="32"/>
  <c r="E6" s="1"/>
  <c r="L74"/>
  <c r="L6" s="1"/>
  <c r="O11" i="35" s="1"/>
  <c r="L75" i="32"/>
  <c r="L7" s="1"/>
  <c r="O12" i="35" s="1"/>
  <c r="O148" s="1"/>
  <c r="U74" i="32"/>
  <c r="U6" s="1"/>
  <c r="X11" i="35" s="1"/>
  <c r="X218" s="1"/>
  <c r="X219" s="1"/>
  <c r="U75" i="32"/>
  <c r="U7" s="1"/>
  <c r="X12" i="35" s="1"/>
  <c r="X148" s="1"/>
  <c r="T82" i="32"/>
  <c r="T12" s="1"/>
  <c r="W17" i="35" s="1"/>
  <c r="W154" s="1"/>
  <c r="W157" s="1"/>
  <c r="T81" i="32"/>
  <c r="T11" s="1"/>
  <c r="R82"/>
  <c r="R12" s="1"/>
  <c r="U17" i="35" s="1"/>
  <c r="U154" s="1"/>
  <c r="U157" s="1"/>
  <c r="R81" i="32"/>
  <c r="R11" s="1"/>
  <c r="E82"/>
  <c r="E12" s="1"/>
  <c r="L81"/>
  <c r="L11" s="1"/>
  <c r="L82"/>
  <c r="L12" s="1"/>
  <c r="O17" i="35" s="1"/>
  <c r="O154" s="1"/>
  <c r="O157" s="1"/>
  <c r="L94" i="32"/>
  <c r="L93"/>
  <c r="L92"/>
  <c r="L91"/>
  <c r="L90"/>
  <c r="L89"/>
  <c r="L88"/>
  <c r="Z74"/>
  <c r="Z6" s="1"/>
  <c r="AC11" i="35" s="1"/>
  <c r="AC218" s="1"/>
  <c r="AC219" s="1"/>
  <c r="Z75" i="32"/>
  <c r="Z7" s="1"/>
  <c r="AC12" i="35" s="1"/>
  <c r="AC148" s="1"/>
  <c r="F82" i="32"/>
  <c r="F12" s="1"/>
  <c r="I17" i="35" s="1"/>
  <c r="I154" s="1"/>
  <c r="I157" s="1"/>
  <c r="F81" i="32"/>
  <c r="F11" s="1"/>
  <c r="X82"/>
  <c r="X12" s="1"/>
  <c r="AA17" i="35" s="1"/>
  <c r="AA154" s="1"/>
  <c r="AA157" s="1"/>
  <c r="X81" i="32"/>
  <c r="X11" s="1"/>
  <c r="P75"/>
  <c r="P7" s="1"/>
  <c r="S12" i="35" s="1"/>
  <c r="S148" s="1"/>
  <c r="P74" i="32"/>
  <c r="P6" s="1"/>
  <c r="S11" i="35" s="1"/>
  <c r="O81" i="32"/>
  <c r="O11" s="1"/>
  <c r="O82"/>
  <c r="O12" s="1"/>
  <c r="R17" i="35" s="1"/>
  <c r="R154" s="1"/>
  <c r="R157" s="1"/>
  <c r="G74" i="32"/>
  <c r="G6" s="1"/>
  <c r="J11" i="35" s="1"/>
  <c r="G75" i="32"/>
  <c r="G7" s="1"/>
  <c r="J12" i="35" s="1"/>
  <c r="J148" s="1"/>
  <c r="S74" i="32"/>
  <c r="S6" s="1"/>
  <c r="V11" i="35" s="1"/>
  <c r="V220" s="1"/>
  <c r="V221" s="1"/>
  <c r="S75" i="32"/>
  <c r="S7" s="1"/>
  <c r="V12" i="35" s="1"/>
  <c r="V148" s="1"/>
  <c r="Z82" i="32"/>
  <c r="Z12" s="1"/>
  <c r="AC17" i="35" s="1"/>
  <c r="AC154" s="1"/>
  <c r="Z81" i="32"/>
  <c r="Z11" s="1"/>
  <c r="V74"/>
  <c r="V6" s="1"/>
  <c r="Y11" i="35" s="1"/>
  <c r="V75" i="32"/>
  <c r="V7" s="1"/>
  <c r="Y12" i="35" s="1"/>
  <c r="Y148" s="1"/>
  <c r="J74" i="32"/>
  <c r="J6" s="1"/>
  <c r="M11" i="35" s="1"/>
  <c r="J75" i="32"/>
  <c r="J7" s="1"/>
  <c r="M12" i="35" s="1"/>
  <c r="M148" s="1"/>
  <c r="T74" i="32"/>
  <c r="T6" s="1"/>
  <c r="W11" i="35" s="1"/>
  <c r="W218" s="1"/>
  <c r="W219" s="1"/>
  <c r="T75" i="32"/>
  <c r="T7" s="1"/>
  <c r="W12" i="35" s="1"/>
  <c r="W148" s="1"/>
  <c r="R74" i="32"/>
  <c r="R6" s="1"/>
  <c r="U11" i="35" s="1"/>
  <c r="R75" i="32"/>
  <c r="R7" s="1"/>
  <c r="U12" i="35" s="1"/>
  <c r="U148" s="1"/>
  <c r="S81" i="32"/>
  <c r="S11" s="1"/>
  <c r="S82"/>
  <c r="S12" s="1"/>
  <c r="V17" i="35" s="1"/>
  <c r="V154" s="1"/>
  <c r="V157" s="1"/>
  <c r="M82" i="32"/>
  <c r="M12" s="1"/>
  <c r="P17" i="35" s="1"/>
  <c r="P154" s="1"/>
  <c r="P157" s="1"/>
  <c r="M81" i="32"/>
  <c r="M11" s="1"/>
  <c r="J82"/>
  <c r="J12" s="1"/>
  <c r="M17" i="35" s="1"/>
  <c r="M154" s="1"/>
  <c r="M157" s="1"/>
  <c r="J81" i="32"/>
  <c r="J11" s="1"/>
  <c r="Y74"/>
  <c r="Y6" s="1"/>
  <c r="AB11" i="35" s="1"/>
  <c r="Y75" i="32"/>
  <c r="Y7" s="1"/>
  <c r="AB12" i="35" s="1"/>
  <c r="AB148" s="1"/>
  <c r="F74" i="32"/>
  <c r="F6" s="1"/>
  <c r="I11" i="35" s="1"/>
  <c r="F75" i="32"/>
  <c r="F7" s="1"/>
  <c r="I12" i="35" s="1"/>
  <c r="X75" i="32"/>
  <c r="X7" s="1"/>
  <c r="AA12" i="35" s="1"/>
  <c r="AA148" s="1"/>
  <c r="X74" i="32"/>
  <c r="X6" s="1"/>
  <c r="AA11" i="35" s="1"/>
  <c r="Q81" i="32"/>
  <c r="Q11" s="1"/>
  <c r="Q82"/>
  <c r="Q12" s="1"/>
  <c r="T17" i="35" s="1"/>
  <c r="T154" s="1"/>
  <c r="T157" s="1"/>
  <c r="O74" i="32"/>
  <c r="O6" s="1"/>
  <c r="R11" i="35" s="1"/>
  <c r="O75" i="32"/>
  <c r="O7" s="1"/>
  <c r="R12" i="35" s="1"/>
  <c r="R148" s="1"/>
  <c r="I82" i="32"/>
  <c r="I12" s="1"/>
  <c r="L17" i="35" s="1"/>
  <c r="L154" s="1"/>
  <c r="L157" s="1"/>
  <c r="I81" i="32"/>
  <c r="I11" s="1"/>
  <c r="M85"/>
  <c r="M86" s="1"/>
  <c r="Z140" i="35"/>
  <c r="R140"/>
  <c r="T140"/>
  <c r="L140"/>
  <c r="AA140"/>
  <c r="U140"/>
  <c r="N140"/>
  <c r="O140"/>
  <c r="G140"/>
  <c r="G268" s="1"/>
  <c r="AB140"/>
  <c r="J140"/>
  <c r="W140"/>
  <c r="H140"/>
  <c r="S140"/>
  <c r="K140"/>
  <c r="I140"/>
  <c r="Y140"/>
  <c r="Z167"/>
  <c r="V167"/>
  <c r="R167"/>
  <c r="N167"/>
  <c r="J167"/>
  <c r="F167"/>
  <c r="AA167"/>
  <c r="W167"/>
  <c r="S167"/>
  <c r="O167"/>
  <c r="K167"/>
  <c r="G167"/>
  <c r="AB167"/>
  <c r="X167"/>
  <c r="T167"/>
  <c r="P167"/>
  <c r="L167"/>
  <c r="H167"/>
  <c r="Y167"/>
  <c r="I167"/>
  <c r="AC167"/>
  <c r="M167"/>
  <c r="Q167"/>
  <c r="U167"/>
  <c r="F93"/>
  <c r="Z162"/>
  <c r="V162"/>
  <c r="R162"/>
  <c r="N162"/>
  <c r="J162"/>
  <c r="F162"/>
  <c r="AB162"/>
  <c r="W162"/>
  <c r="Q162"/>
  <c r="L162"/>
  <c r="G162"/>
  <c r="AC162"/>
  <c r="X162"/>
  <c r="S162"/>
  <c r="M162"/>
  <c r="H162"/>
  <c r="Y162"/>
  <c r="T162"/>
  <c r="O162"/>
  <c r="I162"/>
  <c r="AA162"/>
  <c r="U162"/>
  <c r="P162"/>
  <c r="K162"/>
  <c r="V140"/>
  <c r="Q140"/>
  <c r="X140"/>
  <c r="P140"/>
  <c r="M140"/>
  <c r="AC140"/>
  <c r="AD139"/>
  <c r="F140"/>
  <c r="F268" s="1"/>
  <c r="AD135"/>
  <c r="F156"/>
  <c r="AD155"/>
  <c r="D270" i="29"/>
  <c r="AB15" i="10"/>
  <c r="AB12"/>
  <c r="AB6"/>
  <c r="H201" i="29"/>
  <c r="G201"/>
  <c r="H195"/>
  <c r="G195"/>
  <c r="H190"/>
  <c r="G190"/>
  <c r="H185"/>
  <c r="G185"/>
  <c r="H179"/>
  <c r="G179"/>
  <c r="D52" i="34"/>
  <c r="C169" i="9"/>
  <c r="C164"/>
  <c r="D44" i="34" s="1"/>
  <c r="C163" i="9"/>
  <c r="AC18" i="34"/>
  <c r="AB18"/>
  <c r="AA18"/>
  <c r="Z18"/>
  <c r="Y18"/>
  <c r="X18"/>
  <c r="W18"/>
  <c r="V18"/>
  <c r="U18"/>
  <c r="T18"/>
  <c r="S18"/>
  <c r="R18"/>
  <c r="Q18"/>
  <c r="P18"/>
  <c r="O18"/>
  <c r="N18"/>
  <c r="M18"/>
  <c r="L18"/>
  <c r="K18"/>
  <c r="J18"/>
  <c r="I18"/>
  <c r="H18"/>
  <c r="C42" i="9"/>
  <c r="D51" i="34" s="1"/>
  <c r="C39" i="9"/>
  <c r="D43" i="34" s="1"/>
  <c r="F14" i="33"/>
  <c r="F7" s="1"/>
  <c r="G12"/>
  <c r="H12" s="1"/>
  <c r="H14" s="1"/>
  <c r="E9"/>
  <c r="E8"/>
  <c r="E7"/>
  <c r="H80" i="35" l="1"/>
  <c r="AD80" s="1"/>
  <c r="AD15"/>
  <c r="H150"/>
  <c r="H151"/>
  <c r="H99"/>
  <c r="H100" s="1"/>
  <c r="H92"/>
  <c r="H93" s="1"/>
  <c r="H11"/>
  <c r="E34" i="32"/>
  <c r="E33"/>
  <c r="H31" i="35" s="1"/>
  <c r="K249"/>
  <c r="J283"/>
  <c r="J284"/>
  <c r="J282"/>
  <c r="Z218"/>
  <c r="Z219" s="1"/>
  <c r="W220"/>
  <c r="W221" s="1"/>
  <c r="Z220"/>
  <c r="Z221" s="1"/>
  <c r="K251"/>
  <c r="J303"/>
  <c r="J305"/>
  <c r="J304"/>
  <c r="AA220"/>
  <c r="AA221" s="1"/>
  <c r="AD54"/>
  <c r="O241" i="47"/>
  <c r="O239"/>
  <c r="O240"/>
  <c r="O242"/>
  <c r="O247"/>
  <c r="O245"/>
  <c r="O246"/>
  <c r="P189"/>
  <c r="O230"/>
  <c r="O242" i="46"/>
  <c r="O241"/>
  <c r="O240"/>
  <c r="O243"/>
  <c r="O247"/>
  <c r="O246"/>
  <c r="O248"/>
  <c r="O249"/>
  <c r="P189"/>
  <c r="Q245" i="45"/>
  <c r="Q244"/>
  <c r="Q243"/>
  <c r="Q250"/>
  <c r="Q246"/>
  <c r="Q249"/>
  <c r="Q251"/>
  <c r="Q252"/>
  <c r="R212" i="35"/>
  <c r="R213" s="1"/>
  <c r="R214"/>
  <c r="R215" s="1"/>
  <c r="AB214"/>
  <c r="AB215" s="1"/>
  <c r="AB212"/>
  <c r="AB213" s="1"/>
  <c r="U212"/>
  <c r="U213" s="1"/>
  <c r="U214"/>
  <c r="U215" s="1"/>
  <c r="M212"/>
  <c r="M213" s="1"/>
  <c r="M214"/>
  <c r="M215" s="1"/>
  <c r="J214"/>
  <c r="J215" s="1"/>
  <c r="J212"/>
  <c r="J213" s="1"/>
  <c r="O212"/>
  <c r="O213" s="1"/>
  <c r="O214"/>
  <c r="O215" s="1"/>
  <c r="T212"/>
  <c r="T213" s="1"/>
  <c r="T214"/>
  <c r="T215" s="1"/>
  <c r="P214"/>
  <c r="P215" s="1"/>
  <c r="P212"/>
  <c r="P213" s="1"/>
  <c r="Q212"/>
  <c r="Q213" s="1"/>
  <c r="Q214"/>
  <c r="Q215" s="1"/>
  <c r="N225"/>
  <c r="N226" s="1"/>
  <c r="N227"/>
  <c r="N228" s="1"/>
  <c r="N231"/>
  <c r="N232" s="1"/>
  <c r="N233"/>
  <c r="N234" s="1"/>
  <c r="J220"/>
  <c r="J221" s="1"/>
  <c r="AB218"/>
  <c r="AB219" s="1"/>
  <c r="J218"/>
  <c r="J219" s="1"/>
  <c r="AA218"/>
  <c r="AA219" s="1"/>
  <c r="T218"/>
  <c r="T219" s="1"/>
  <c r="Q218"/>
  <c r="Q219" s="1"/>
  <c r="M218"/>
  <c r="M219" s="1"/>
  <c r="P220"/>
  <c r="P221" s="1"/>
  <c r="G289"/>
  <c r="G310"/>
  <c r="S214"/>
  <c r="S215" s="1"/>
  <c r="S212"/>
  <c r="S213" s="1"/>
  <c r="K212"/>
  <c r="K213" s="1"/>
  <c r="K214"/>
  <c r="K215" s="1"/>
  <c r="F289"/>
  <c r="F310"/>
  <c r="I214"/>
  <c r="I215" s="1"/>
  <c r="I212"/>
  <c r="I213" s="1"/>
  <c r="W214"/>
  <c r="W215" s="1"/>
  <c r="W212"/>
  <c r="W213" s="1"/>
  <c r="Y214"/>
  <c r="Y215" s="1"/>
  <c r="Y212"/>
  <c r="Y213" s="1"/>
  <c r="V212"/>
  <c r="V213" s="1"/>
  <c r="V214"/>
  <c r="V215" s="1"/>
  <c r="AC212"/>
  <c r="AC213" s="1"/>
  <c r="AC214"/>
  <c r="AC215" s="1"/>
  <c r="X212"/>
  <c r="X213" s="1"/>
  <c r="X214"/>
  <c r="X215" s="1"/>
  <c r="L214"/>
  <c r="L215" s="1"/>
  <c r="L212"/>
  <c r="L213" s="1"/>
  <c r="L230" i="47"/>
  <c r="L251"/>
  <c r="H230"/>
  <c r="H251"/>
  <c r="T220" i="35"/>
  <c r="T221" s="1"/>
  <c r="K220"/>
  <c r="K221" s="1"/>
  <c r="L220"/>
  <c r="L221" s="1"/>
  <c r="R218"/>
  <c r="R219" s="1"/>
  <c r="AC220"/>
  <c r="AC221" s="1"/>
  <c r="I218"/>
  <c r="I219" s="1"/>
  <c r="S220"/>
  <c r="S221" s="1"/>
  <c r="AB220"/>
  <c r="AB221" s="1"/>
  <c r="Y218"/>
  <c r="Y219" s="1"/>
  <c r="O218"/>
  <c r="O219" s="1"/>
  <c r="U218"/>
  <c r="U219" s="1"/>
  <c r="K218"/>
  <c r="K219" s="1"/>
  <c r="AA212"/>
  <c r="AA213" s="1"/>
  <c r="AA214"/>
  <c r="AA215" s="1"/>
  <c r="H231" i="45"/>
  <c r="H252"/>
  <c r="Z212" i="35"/>
  <c r="Z213" s="1"/>
  <c r="Z214"/>
  <c r="Z215" s="1"/>
  <c r="S218"/>
  <c r="S219" s="1"/>
  <c r="O220"/>
  <c r="O221" s="1"/>
  <c r="P218"/>
  <c r="P219" s="1"/>
  <c r="R220"/>
  <c r="R221" s="1"/>
  <c r="X220"/>
  <c r="X221" s="1"/>
  <c r="I220"/>
  <c r="I221" s="1"/>
  <c r="Y220"/>
  <c r="Y221" s="1"/>
  <c r="V218"/>
  <c r="V219" s="1"/>
  <c r="Q220"/>
  <c r="Q221" s="1"/>
  <c r="U220"/>
  <c r="U221" s="1"/>
  <c r="M220"/>
  <c r="M221" s="1"/>
  <c r="O238" i="44"/>
  <c r="O236"/>
  <c r="O237"/>
  <c r="P183"/>
  <c r="O217"/>
  <c r="O216"/>
  <c r="O215"/>
  <c r="P181"/>
  <c r="O224" i="45"/>
  <c r="O223"/>
  <c r="O222"/>
  <c r="O231"/>
  <c r="O229"/>
  <c r="O225"/>
  <c r="O228"/>
  <c r="O230"/>
  <c r="P187"/>
  <c r="N226"/>
  <c r="P221" i="46"/>
  <c r="P219"/>
  <c r="P220"/>
  <c r="P222"/>
  <c r="P223" s="1"/>
  <c r="P231"/>
  <c r="P226"/>
  <c r="P225"/>
  <c r="P227"/>
  <c r="P228"/>
  <c r="O223"/>
  <c r="O220" i="47"/>
  <c r="O218"/>
  <c r="O219"/>
  <c r="O226"/>
  <c r="O221"/>
  <c r="O224"/>
  <c r="O225"/>
  <c r="P187"/>
  <c r="N222"/>
  <c r="AD122"/>
  <c r="H206"/>
  <c r="AD183"/>
  <c r="Q187" i="46"/>
  <c r="R189" i="45"/>
  <c r="N32" i="35"/>
  <c r="K35" i="32"/>
  <c r="AB56" i="35"/>
  <c r="M56"/>
  <c r="J56"/>
  <c r="O56"/>
  <c r="I56"/>
  <c r="AD11"/>
  <c r="W56"/>
  <c r="Y56"/>
  <c r="V56"/>
  <c r="AC56"/>
  <c r="X56"/>
  <c r="L56"/>
  <c r="Z150"/>
  <c r="Z151"/>
  <c r="I148"/>
  <c r="AD12"/>
  <c r="W150"/>
  <c r="W151"/>
  <c r="Y151"/>
  <c r="Y150"/>
  <c r="V150"/>
  <c r="V151"/>
  <c r="AC150"/>
  <c r="AC151"/>
  <c r="X151"/>
  <c r="X150"/>
  <c r="L150"/>
  <c r="L151"/>
  <c r="Z56"/>
  <c r="N72"/>
  <c r="N73" s="1"/>
  <c r="N65"/>
  <c r="N66" s="1"/>
  <c r="AA151"/>
  <c r="AA150"/>
  <c r="U56"/>
  <c r="S150"/>
  <c r="S151"/>
  <c r="T56"/>
  <c r="P56"/>
  <c r="Q56"/>
  <c r="R56"/>
  <c r="K150"/>
  <c r="K151"/>
  <c r="R150"/>
  <c r="R151"/>
  <c r="AA56"/>
  <c r="AB150"/>
  <c r="AB151"/>
  <c r="U150"/>
  <c r="U151"/>
  <c r="M150"/>
  <c r="M151"/>
  <c r="J150"/>
  <c r="J151"/>
  <c r="S56"/>
  <c r="O150"/>
  <c r="O151"/>
  <c r="T150"/>
  <c r="T151"/>
  <c r="P150"/>
  <c r="P151"/>
  <c r="K56"/>
  <c r="Q151"/>
  <c r="Q150"/>
  <c r="Q156"/>
  <c r="AA156"/>
  <c r="T156"/>
  <c r="R156"/>
  <c r="AC157"/>
  <c r="AC156"/>
  <c r="H17"/>
  <c r="E31" i="32"/>
  <c r="H29" i="35" s="1"/>
  <c r="J156"/>
  <c r="L156"/>
  <c r="P156"/>
  <c r="M156"/>
  <c r="Z156"/>
  <c r="S157"/>
  <c r="S156"/>
  <c r="X156"/>
  <c r="W156"/>
  <c r="V156"/>
  <c r="AB156"/>
  <c r="I156"/>
  <c r="O156"/>
  <c r="K156"/>
  <c r="Y156"/>
  <c r="U156"/>
  <c r="P31" i="32"/>
  <c r="S29" i="35" s="1"/>
  <c r="P34" i="32"/>
  <c r="S16" i="35"/>
  <c r="P33" i="32"/>
  <c r="S31" i="35" s="1"/>
  <c r="M31" i="32"/>
  <c r="P29" i="35" s="1"/>
  <c r="M34" i="32"/>
  <c r="P16" i="35"/>
  <c r="M33" i="32"/>
  <c r="P31" i="35" s="1"/>
  <c r="Z34" i="32"/>
  <c r="AC16" i="35"/>
  <c r="Z33" i="32"/>
  <c r="AC31" i="35" s="1"/>
  <c r="Z31" i="32"/>
  <c r="AC29" i="35" s="1"/>
  <c r="I16"/>
  <c r="F33" i="32"/>
  <c r="F31"/>
  <c r="I29" i="35" s="1"/>
  <c r="F34" i="32"/>
  <c r="L31"/>
  <c r="O29" i="35" s="1"/>
  <c r="L34" i="32"/>
  <c r="O16" i="35"/>
  <c r="L33" i="32"/>
  <c r="O31" i="35" s="1"/>
  <c r="T31" i="32"/>
  <c r="W29" i="35" s="1"/>
  <c r="T34" i="32"/>
  <c r="W16" i="35"/>
  <c r="T33" i="32"/>
  <c r="W31" i="35" s="1"/>
  <c r="Y16"/>
  <c r="V33" i="32"/>
  <c r="Y31" i="35" s="1"/>
  <c r="V31" i="32"/>
  <c r="Y29" i="35" s="1"/>
  <c r="V34" i="32"/>
  <c r="Y33"/>
  <c r="AB31" i="35" s="1"/>
  <c r="Y31" i="32"/>
  <c r="AB29" i="35" s="1"/>
  <c r="Y34" i="32"/>
  <c r="AB16" i="35"/>
  <c r="T16"/>
  <c r="Q33" i="32"/>
  <c r="T31" i="35" s="1"/>
  <c r="Q31" i="32"/>
  <c r="T29" i="35" s="1"/>
  <c r="Q34" i="32"/>
  <c r="S34"/>
  <c r="V16" i="35"/>
  <c r="S33" i="32"/>
  <c r="V31" i="35" s="1"/>
  <c r="S31" i="32"/>
  <c r="V29" i="35" s="1"/>
  <c r="O34" i="32"/>
  <c r="R16" i="35"/>
  <c r="O33" i="32"/>
  <c r="R31" i="35" s="1"/>
  <c r="O31" i="32"/>
  <c r="R29" i="35" s="1"/>
  <c r="G34" i="32"/>
  <c r="J16" i="35"/>
  <c r="G33" i="32"/>
  <c r="J31" i="35" s="1"/>
  <c r="G31" i="32"/>
  <c r="J29" i="35" s="1"/>
  <c r="W31" i="32"/>
  <c r="Z29" i="35" s="1"/>
  <c r="W34" i="32"/>
  <c r="Z16" i="35"/>
  <c r="W33" i="32"/>
  <c r="Z31" i="35" s="1"/>
  <c r="N83"/>
  <c r="I33" i="32"/>
  <c r="L31" i="35" s="1"/>
  <c r="I31" i="32"/>
  <c r="L29" i="35" s="1"/>
  <c r="I34" i="32"/>
  <c r="L16" i="35"/>
  <c r="J34" i="32"/>
  <c r="M16" i="35"/>
  <c r="J33" i="32"/>
  <c r="M31" i="35" s="1"/>
  <c r="J31" i="32"/>
  <c r="M29" i="35" s="1"/>
  <c r="X31" i="32"/>
  <c r="AA29" i="35" s="1"/>
  <c r="X34" i="32"/>
  <c r="AA16" i="35"/>
  <c r="X33" i="32"/>
  <c r="AA31" i="35" s="1"/>
  <c r="U16"/>
  <c r="R33" i="32"/>
  <c r="U31" i="35" s="1"/>
  <c r="R31" i="32"/>
  <c r="U29" i="35" s="1"/>
  <c r="R34" i="32"/>
  <c r="H31"/>
  <c r="K29" i="35" s="1"/>
  <c r="H34" i="32"/>
  <c r="K16" i="35"/>
  <c r="H33" i="32"/>
  <c r="K31" i="35" s="1"/>
  <c r="Q16"/>
  <c r="N33" i="32"/>
  <c r="Q31" i="35" s="1"/>
  <c r="N31" i="32"/>
  <c r="Q29" i="35" s="1"/>
  <c r="N34" i="32"/>
  <c r="U31"/>
  <c r="X29" i="35" s="1"/>
  <c r="U34" i="32"/>
  <c r="X16" i="35"/>
  <c r="U33" i="32"/>
  <c r="X31" i="35" s="1"/>
  <c r="M94" i="32"/>
  <c r="M93"/>
  <c r="M92"/>
  <c r="M91"/>
  <c r="M90"/>
  <c r="M89"/>
  <c r="M88"/>
  <c r="N85"/>
  <c r="N86" s="1"/>
  <c r="AD140" i="35"/>
  <c r="AD162"/>
  <c r="AD167"/>
  <c r="C165" i="9"/>
  <c r="D41" i="34"/>
  <c r="H11"/>
  <c r="Z7" i="33"/>
  <c r="AB11" i="34" s="1"/>
  <c r="V7" i="33"/>
  <c r="X11" i="34" s="1"/>
  <c r="R7" i="33"/>
  <c r="T11" i="34" s="1"/>
  <c r="N7" i="33"/>
  <c r="P11" i="34" s="1"/>
  <c r="J7" i="33"/>
  <c r="L11" i="34" s="1"/>
  <c r="AA7" i="33"/>
  <c r="AC11" i="34" s="1"/>
  <c r="W7" i="33"/>
  <c r="Y11" i="34" s="1"/>
  <c r="S7" i="33"/>
  <c r="U11" i="34" s="1"/>
  <c r="O7" i="33"/>
  <c r="Q11" i="34" s="1"/>
  <c r="K7" i="33"/>
  <c r="M11" i="34" s="1"/>
  <c r="G7" i="33"/>
  <c r="I11" i="34" s="1"/>
  <c r="X7" i="33"/>
  <c r="Z11" i="34" s="1"/>
  <c r="T7" i="33"/>
  <c r="V11" i="34" s="1"/>
  <c r="P7" i="33"/>
  <c r="R11" i="34" s="1"/>
  <c r="L7" i="33"/>
  <c r="N11" i="34" s="1"/>
  <c r="H7" i="33"/>
  <c r="J11" i="34" s="1"/>
  <c r="Y7" i="33"/>
  <c r="AA11" i="34" s="1"/>
  <c r="U7" i="33"/>
  <c r="W11" i="34" s="1"/>
  <c r="Q7" i="33"/>
  <c r="S11" i="34" s="1"/>
  <c r="M7" i="33"/>
  <c r="O11" i="34" s="1"/>
  <c r="I7" i="33"/>
  <c r="K11" i="34" s="1"/>
  <c r="H8" i="33"/>
  <c r="J12" i="34" s="1"/>
  <c r="F9" i="33"/>
  <c r="H13" i="34" s="1"/>
  <c r="H63" s="1"/>
  <c r="F8" i="33"/>
  <c r="H9"/>
  <c r="J13" i="34" s="1"/>
  <c r="J63" s="1"/>
  <c r="F19" i="33"/>
  <c r="H12" i="34"/>
  <c r="G14" i="33"/>
  <c r="I12"/>
  <c r="I14" s="1"/>
  <c r="F129" i="34"/>
  <c r="F127"/>
  <c r="D95"/>
  <c r="G63"/>
  <c r="F63"/>
  <c r="D45"/>
  <c r="G38"/>
  <c r="F38"/>
  <c r="D34"/>
  <c r="H35" s="1"/>
  <c r="C28" i="9"/>
  <c r="C20"/>
  <c r="E19"/>
  <c r="E20" s="1"/>
  <c r="D19"/>
  <c r="D20" s="1"/>
  <c r="G129" i="34" l="1"/>
  <c r="F182"/>
  <c r="F183"/>
  <c r="F181"/>
  <c r="F184"/>
  <c r="H32" i="35"/>
  <c r="E35" i="32"/>
  <c r="H56" i="35"/>
  <c r="H214"/>
  <c r="H215" s="1"/>
  <c r="H212"/>
  <c r="H213" s="1"/>
  <c r="H220"/>
  <c r="H221" s="1"/>
  <c r="H218"/>
  <c r="H219" s="1"/>
  <c r="L251"/>
  <c r="K305"/>
  <c r="K304"/>
  <c r="K303"/>
  <c r="L249"/>
  <c r="K282"/>
  <c r="K283"/>
  <c r="K284"/>
  <c r="P241" i="47"/>
  <c r="P239"/>
  <c r="P240"/>
  <c r="P247"/>
  <c r="P242"/>
  <c r="P246"/>
  <c r="P245"/>
  <c r="Q189"/>
  <c r="P248"/>
  <c r="P251"/>
  <c r="P242" i="46"/>
  <c r="P241"/>
  <c r="P240"/>
  <c r="P243"/>
  <c r="P246"/>
  <c r="P247"/>
  <c r="P248"/>
  <c r="P249"/>
  <c r="P252"/>
  <c r="Q189"/>
  <c r="R245" i="45"/>
  <c r="R243"/>
  <c r="R244"/>
  <c r="R246"/>
  <c r="R249"/>
  <c r="R250"/>
  <c r="R251"/>
  <c r="R252"/>
  <c r="O226"/>
  <c r="R225" i="35"/>
  <c r="R226" s="1"/>
  <c r="R227"/>
  <c r="R228" s="1"/>
  <c r="R231"/>
  <c r="R232" s="1"/>
  <c r="R233"/>
  <c r="R234" s="1"/>
  <c r="X227"/>
  <c r="X228" s="1"/>
  <c r="X225"/>
  <c r="X226" s="1"/>
  <c r="X231"/>
  <c r="X232" s="1"/>
  <c r="X233"/>
  <c r="X234" s="1"/>
  <c r="K225"/>
  <c r="K226" s="1"/>
  <c r="K227"/>
  <c r="K228" s="1"/>
  <c r="K231"/>
  <c r="K232" s="1"/>
  <c r="K233"/>
  <c r="K234" s="1"/>
  <c r="AA225"/>
  <c r="AA226" s="1"/>
  <c r="AA227"/>
  <c r="AA228" s="1"/>
  <c r="AA233"/>
  <c r="AA234" s="1"/>
  <c r="AA231"/>
  <c r="AA232" s="1"/>
  <c r="T227"/>
  <c r="T228" s="1"/>
  <c r="T225"/>
  <c r="T226" s="1"/>
  <c r="T233"/>
  <c r="T234" s="1"/>
  <c r="T231"/>
  <c r="T232" s="1"/>
  <c r="Y225"/>
  <c r="Y226" s="1"/>
  <c r="Y227"/>
  <c r="Y228" s="1"/>
  <c r="Y233"/>
  <c r="Y234" s="1"/>
  <c r="Y231"/>
  <c r="Y232" s="1"/>
  <c r="I225"/>
  <c r="I226" s="1"/>
  <c r="I227"/>
  <c r="I228" s="1"/>
  <c r="I233"/>
  <c r="I234" s="1"/>
  <c r="I231"/>
  <c r="I232" s="1"/>
  <c r="L225"/>
  <c r="L226" s="1"/>
  <c r="L227"/>
  <c r="L228" s="1"/>
  <c r="L231"/>
  <c r="L232" s="1"/>
  <c r="L233"/>
  <c r="L234" s="1"/>
  <c r="J225"/>
  <c r="J226" s="1"/>
  <c r="J227"/>
  <c r="J228" s="1"/>
  <c r="J233"/>
  <c r="J234" s="1"/>
  <c r="J231"/>
  <c r="J232" s="1"/>
  <c r="V225"/>
  <c r="V226" s="1"/>
  <c r="V227"/>
  <c r="V228" s="1"/>
  <c r="V231"/>
  <c r="V232" s="1"/>
  <c r="V233"/>
  <c r="V234" s="1"/>
  <c r="H103" i="34"/>
  <c r="H105"/>
  <c r="Q227" i="35"/>
  <c r="Q228" s="1"/>
  <c r="Q225"/>
  <c r="Q226" s="1"/>
  <c r="Q233"/>
  <c r="Q234" s="1"/>
  <c r="Q231"/>
  <c r="Q232" s="1"/>
  <c r="U227"/>
  <c r="U228" s="1"/>
  <c r="U225"/>
  <c r="U226" s="1"/>
  <c r="U233"/>
  <c r="U234" s="1"/>
  <c r="U231"/>
  <c r="U232" s="1"/>
  <c r="Z227"/>
  <c r="Z228" s="1"/>
  <c r="Z225"/>
  <c r="Z226" s="1"/>
  <c r="Z231"/>
  <c r="Z232" s="1"/>
  <c r="Z233"/>
  <c r="Z234" s="1"/>
  <c r="W225"/>
  <c r="W226" s="1"/>
  <c r="W227"/>
  <c r="W228" s="1"/>
  <c r="W233"/>
  <c r="W234" s="1"/>
  <c r="W231"/>
  <c r="W232" s="1"/>
  <c r="O225"/>
  <c r="O226" s="1"/>
  <c r="O227"/>
  <c r="O228" s="1"/>
  <c r="O231"/>
  <c r="O232" s="1"/>
  <c r="O233"/>
  <c r="O234" s="1"/>
  <c r="P225"/>
  <c r="P226" s="1"/>
  <c r="P227"/>
  <c r="P228" s="1"/>
  <c r="P233"/>
  <c r="P234" s="1"/>
  <c r="P231"/>
  <c r="P232" s="1"/>
  <c r="S225"/>
  <c r="S226" s="1"/>
  <c r="S227"/>
  <c r="S228" s="1"/>
  <c r="S233"/>
  <c r="S234" s="1"/>
  <c r="S231"/>
  <c r="S232" s="1"/>
  <c r="H227"/>
  <c r="H228" s="1"/>
  <c r="H225"/>
  <c r="H226" s="1"/>
  <c r="H233"/>
  <c r="H234" s="1"/>
  <c r="H231"/>
  <c r="H232" s="1"/>
  <c r="J103" i="34"/>
  <c r="J105"/>
  <c r="AC225" i="35"/>
  <c r="AC226" s="1"/>
  <c r="AC227"/>
  <c r="AC228" s="1"/>
  <c r="AC231"/>
  <c r="AC232" s="1"/>
  <c r="AC233"/>
  <c r="AC234" s="1"/>
  <c r="M225"/>
  <c r="M226" s="1"/>
  <c r="M227"/>
  <c r="M228" s="1"/>
  <c r="M233"/>
  <c r="M234" s="1"/>
  <c r="M231"/>
  <c r="M232" s="1"/>
  <c r="AB225"/>
  <c r="AB226" s="1"/>
  <c r="AB227"/>
  <c r="AB228" s="1"/>
  <c r="AB231"/>
  <c r="AB232" s="1"/>
  <c r="AB233"/>
  <c r="AB234" s="1"/>
  <c r="H227" i="47"/>
  <c r="H248"/>
  <c r="P237" i="44"/>
  <c r="P236"/>
  <c r="P238"/>
  <c r="Q183"/>
  <c r="P217"/>
  <c r="P215"/>
  <c r="P216"/>
  <c r="Q181"/>
  <c r="P224" i="45"/>
  <c r="P223"/>
  <c r="P222"/>
  <c r="P231"/>
  <c r="P229"/>
  <c r="P225"/>
  <c r="P228"/>
  <c r="P230"/>
  <c r="Q187"/>
  <c r="Q221" i="46"/>
  <c r="Q220"/>
  <c r="Q219"/>
  <c r="Q222"/>
  <c r="Q226"/>
  <c r="Q225"/>
  <c r="Q231"/>
  <c r="Q227"/>
  <c r="Q228"/>
  <c r="G127" i="34"/>
  <c r="F160"/>
  <c r="F161"/>
  <c r="F162"/>
  <c r="F163"/>
  <c r="J111"/>
  <c r="J112" s="1"/>
  <c r="J109"/>
  <c r="J110" s="1"/>
  <c r="H109"/>
  <c r="H111"/>
  <c r="N264" i="35"/>
  <c r="N265" s="1"/>
  <c r="J92" i="24" s="1"/>
  <c r="P220" i="47"/>
  <c r="P219"/>
  <c r="P218"/>
  <c r="P226"/>
  <c r="P221"/>
  <c r="P225"/>
  <c r="P224"/>
  <c r="P230"/>
  <c r="P227"/>
  <c r="Q187"/>
  <c r="O222"/>
  <c r="R187" i="46"/>
  <c r="S189" i="45"/>
  <c r="X32" i="35"/>
  <c r="U35" i="32"/>
  <c r="K32" i="35"/>
  <c r="H35" i="32"/>
  <c r="AA32" i="35"/>
  <c r="X35" i="32"/>
  <c r="Z32" i="35"/>
  <c r="W35" i="32"/>
  <c r="W32" i="35"/>
  <c r="T35" i="32"/>
  <c r="O32" i="35"/>
  <c r="L35" i="32"/>
  <c r="I31" i="35"/>
  <c r="F26" i="32"/>
  <c r="P32" i="35"/>
  <c r="M35" i="32"/>
  <c r="S32" i="35"/>
  <c r="P35" i="32"/>
  <c r="AB32" i="35"/>
  <c r="Y35" i="32"/>
  <c r="Q32" i="35"/>
  <c r="N35" i="32"/>
  <c r="U32" i="35"/>
  <c r="R35" i="32"/>
  <c r="T32" i="35"/>
  <c r="Q35" i="32"/>
  <c r="Y32" i="35"/>
  <c r="V35" i="32"/>
  <c r="I32" i="35"/>
  <c r="F35" i="32"/>
  <c r="L32" i="35"/>
  <c r="I35" i="32"/>
  <c r="M32" i="35"/>
  <c r="J35" i="32"/>
  <c r="J32" i="35"/>
  <c r="G35" i="32"/>
  <c r="R32" i="35"/>
  <c r="O35" i="32"/>
  <c r="V32" i="35"/>
  <c r="S35" i="32"/>
  <c r="AC32" i="35"/>
  <c r="Z35" i="32"/>
  <c r="S72" i="35"/>
  <c r="S73" s="1"/>
  <c r="S65"/>
  <c r="S66" s="1"/>
  <c r="X72"/>
  <c r="X73" s="1"/>
  <c r="X65"/>
  <c r="X66" s="1"/>
  <c r="W65"/>
  <c r="W66" s="1"/>
  <c r="W72"/>
  <c r="W73" s="1"/>
  <c r="AD212"/>
  <c r="O65"/>
  <c r="O66" s="1"/>
  <c r="O72"/>
  <c r="O73" s="1"/>
  <c r="J65"/>
  <c r="J66" s="1"/>
  <c r="J72"/>
  <c r="J73" s="1"/>
  <c r="K65"/>
  <c r="K66" s="1"/>
  <c r="K72"/>
  <c r="K73" s="1"/>
  <c r="Z65"/>
  <c r="Z66" s="1"/>
  <c r="Z72"/>
  <c r="Z73" s="1"/>
  <c r="Y72"/>
  <c r="Y73" s="1"/>
  <c r="Y65"/>
  <c r="Y66" s="1"/>
  <c r="AD215"/>
  <c r="AD214"/>
  <c r="M72"/>
  <c r="M73" s="1"/>
  <c r="M65"/>
  <c r="M66" s="1"/>
  <c r="AA65"/>
  <c r="AA66" s="1"/>
  <c r="AA72"/>
  <c r="AA73" s="1"/>
  <c r="Q72"/>
  <c r="Q73" s="1"/>
  <c r="Q65"/>
  <c r="Q66" s="1"/>
  <c r="T72"/>
  <c r="T73" s="1"/>
  <c r="T65"/>
  <c r="T66" s="1"/>
  <c r="AD148"/>
  <c r="I150"/>
  <c r="AD150" s="1"/>
  <c r="I151"/>
  <c r="AD151" s="1"/>
  <c r="L72"/>
  <c r="L73" s="1"/>
  <c r="L65"/>
  <c r="L66" s="1"/>
  <c r="V65"/>
  <c r="V66" s="1"/>
  <c r="V72"/>
  <c r="V73" s="1"/>
  <c r="AD56"/>
  <c r="I65"/>
  <c r="I72"/>
  <c r="AB65"/>
  <c r="AB66" s="1"/>
  <c r="AB72"/>
  <c r="AB73" s="1"/>
  <c r="R72"/>
  <c r="R73" s="1"/>
  <c r="R65"/>
  <c r="R66" s="1"/>
  <c r="P72"/>
  <c r="P73" s="1"/>
  <c r="P65"/>
  <c r="P66" s="1"/>
  <c r="U72"/>
  <c r="U73" s="1"/>
  <c r="U65"/>
  <c r="U66" s="1"/>
  <c r="AC65"/>
  <c r="AC66" s="1"/>
  <c r="AC72"/>
  <c r="AC73" s="1"/>
  <c r="H154"/>
  <c r="AD17"/>
  <c r="L83"/>
  <c r="Y83"/>
  <c r="AD16"/>
  <c r="I83"/>
  <c r="Q83"/>
  <c r="U83"/>
  <c r="N99"/>
  <c r="N100" s="1"/>
  <c r="N268" s="1"/>
  <c r="N92"/>
  <c r="N93" s="1"/>
  <c r="T264"/>
  <c r="T83"/>
  <c r="AC83"/>
  <c r="M83"/>
  <c r="J83"/>
  <c r="R83"/>
  <c r="V83"/>
  <c r="W83"/>
  <c r="O83"/>
  <c r="P83"/>
  <c r="S83"/>
  <c r="AD29"/>
  <c r="X83"/>
  <c r="K83"/>
  <c r="AA83"/>
  <c r="Z83"/>
  <c r="AB83"/>
  <c r="N94" i="32"/>
  <c r="N93"/>
  <c r="N92"/>
  <c r="N91"/>
  <c r="N90"/>
  <c r="N89"/>
  <c r="N88"/>
  <c r="O85"/>
  <c r="O86" s="1"/>
  <c r="J106" i="34"/>
  <c r="J104"/>
  <c r="H106"/>
  <c r="H104"/>
  <c r="H38"/>
  <c r="C29" i="9"/>
  <c r="F19"/>
  <c r="G19" s="1"/>
  <c r="H19" s="1"/>
  <c r="I19" s="1"/>
  <c r="J19" s="1"/>
  <c r="K19" s="1"/>
  <c r="L19" s="1"/>
  <c r="M19" s="1"/>
  <c r="N19" s="1"/>
  <c r="O19" s="1"/>
  <c r="P19" s="1"/>
  <c r="Q19" s="1"/>
  <c r="R19" s="1"/>
  <c r="S19" s="1"/>
  <c r="T19" s="1"/>
  <c r="U19" s="1"/>
  <c r="U20" s="1"/>
  <c r="W115" i="29" s="1"/>
  <c r="E28" i="9"/>
  <c r="E38" s="1"/>
  <c r="G40" i="34" s="1"/>
  <c r="D28" i="9"/>
  <c r="D66" s="1"/>
  <c r="G35" i="34"/>
  <c r="K35"/>
  <c r="AA35"/>
  <c r="P35"/>
  <c r="W35"/>
  <c r="X35"/>
  <c r="O35"/>
  <c r="S35"/>
  <c r="G115" i="29"/>
  <c r="F115"/>
  <c r="C38" i="9"/>
  <c r="C40" s="1"/>
  <c r="C66"/>
  <c r="G9" i="33"/>
  <c r="I13" i="34" s="1"/>
  <c r="I63" s="1"/>
  <c r="G8" i="33"/>
  <c r="I8"/>
  <c r="I9"/>
  <c r="K13" i="34" s="1"/>
  <c r="K63" s="1"/>
  <c r="H17" i="33"/>
  <c r="J17" i="34" s="1"/>
  <c r="H19" i="33"/>
  <c r="AB35" i="34"/>
  <c r="F17" i="33"/>
  <c r="H17" i="34" s="1"/>
  <c r="F20" i="33"/>
  <c r="H19" i="34"/>
  <c r="L35"/>
  <c r="T35"/>
  <c r="AC35"/>
  <c r="J12" i="33"/>
  <c r="J14" s="1"/>
  <c r="F35" i="34"/>
  <c r="J35"/>
  <c r="N35"/>
  <c r="R35"/>
  <c r="V35"/>
  <c r="Z35"/>
  <c r="J38"/>
  <c r="I35"/>
  <c r="M35"/>
  <c r="Q35"/>
  <c r="U35"/>
  <c r="Y35"/>
  <c r="D54"/>
  <c r="H54" s="1"/>
  <c r="H129" l="1"/>
  <c r="G181"/>
  <c r="G182"/>
  <c r="G183"/>
  <c r="G184"/>
  <c r="G185" s="1"/>
  <c r="F185"/>
  <c r="Q264" i="35"/>
  <c r="H65"/>
  <c r="H66" s="1"/>
  <c r="H72"/>
  <c r="H73" s="1"/>
  <c r="H268" s="1"/>
  <c r="L282"/>
  <c r="L284"/>
  <c r="L283"/>
  <c r="M249"/>
  <c r="L304"/>
  <c r="L303"/>
  <c r="L305"/>
  <c r="M251"/>
  <c r="Q241" i="47"/>
  <c r="Q240"/>
  <c r="Q239"/>
  <c r="Q242"/>
  <c r="Q247"/>
  <c r="Q245"/>
  <c r="Q246"/>
  <c r="Q248"/>
  <c r="R189"/>
  <c r="Q251"/>
  <c r="Q242" i="46"/>
  <c r="Q241"/>
  <c r="Q240"/>
  <c r="Q243"/>
  <c r="Q247"/>
  <c r="Q246"/>
  <c r="Q248"/>
  <c r="Q249"/>
  <c r="Q252"/>
  <c r="R189"/>
  <c r="S245" i="45"/>
  <c r="S243"/>
  <c r="S244"/>
  <c r="S250"/>
  <c r="S246"/>
  <c r="S249"/>
  <c r="S251"/>
  <c r="S252"/>
  <c r="P226"/>
  <c r="Q237" i="44"/>
  <c r="Q236"/>
  <c r="Q238"/>
  <c r="R183"/>
  <c r="Q217"/>
  <c r="Q215"/>
  <c r="Q216"/>
  <c r="R181"/>
  <c r="Q224" i="45"/>
  <c r="Q223"/>
  <c r="Q222"/>
  <c r="Q231"/>
  <c r="Q229"/>
  <c r="Q225"/>
  <c r="Q228"/>
  <c r="Q230"/>
  <c r="R187"/>
  <c r="Q223" i="46"/>
  <c r="R221"/>
  <c r="R220"/>
  <c r="R219"/>
  <c r="R225"/>
  <c r="R222"/>
  <c r="R226"/>
  <c r="R227"/>
  <c r="R231"/>
  <c r="R228"/>
  <c r="H127" i="34"/>
  <c r="G161"/>
  <c r="G160"/>
  <c r="G162"/>
  <c r="G163"/>
  <c r="H110"/>
  <c r="F164"/>
  <c r="H112"/>
  <c r="H142"/>
  <c r="AD221" i="35"/>
  <c r="AD220"/>
  <c r="AD219"/>
  <c r="AD218"/>
  <c r="AB264"/>
  <c r="R264"/>
  <c r="AA264"/>
  <c r="M264"/>
  <c r="M285" s="1"/>
  <c r="X264"/>
  <c r="S264"/>
  <c r="O264"/>
  <c r="V264"/>
  <c r="AC264"/>
  <c r="U264"/>
  <c r="Y264"/>
  <c r="Y265" s="1"/>
  <c r="U92" i="24" s="1"/>
  <c r="L264" i="35"/>
  <c r="Z264"/>
  <c r="P264"/>
  <c r="W264"/>
  <c r="J264"/>
  <c r="H264"/>
  <c r="K264"/>
  <c r="Q265"/>
  <c r="M92" i="24" s="1"/>
  <c r="T265" i="35"/>
  <c r="P92" i="24" s="1"/>
  <c r="AB265" i="35"/>
  <c r="X92" i="24" s="1"/>
  <c r="AD213" i="35"/>
  <c r="Q220" i="47"/>
  <c r="Q219"/>
  <c r="Q218"/>
  <c r="Q221"/>
  <c r="Q226"/>
  <c r="Q224"/>
  <c r="Q225"/>
  <c r="Q227"/>
  <c r="Q230"/>
  <c r="R187"/>
  <c r="P222"/>
  <c r="J142" i="34"/>
  <c r="S187" i="46"/>
  <c r="T189" i="45"/>
  <c r="F27" i="32"/>
  <c r="I39" i="35" s="1"/>
  <c r="I38"/>
  <c r="I66"/>
  <c r="AD65"/>
  <c r="I73"/>
  <c r="AD154"/>
  <c r="H157"/>
  <c r="AD157" s="1"/>
  <c r="H156"/>
  <c r="AD156" s="1"/>
  <c r="AB99"/>
  <c r="AB100" s="1"/>
  <c r="AB268" s="1"/>
  <c r="AB92"/>
  <c r="AB93" s="1"/>
  <c r="Z99"/>
  <c r="Z100" s="1"/>
  <c r="Z268" s="1"/>
  <c r="Z92"/>
  <c r="Z93" s="1"/>
  <c r="AA99"/>
  <c r="AA100" s="1"/>
  <c r="AA268" s="1"/>
  <c r="AA92"/>
  <c r="AA93" s="1"/>
  <c r="K99"/>
  <c r="K100" s="1"/>
  <c r="K268" s="1"/>
  <c r="K92"/>
  <c r="K93" s="1"/>
  <c r="X99"/>
  <c r="X100" s="1"/>
  <c r="X268" s="1"/>
  <c r="X92"/>
  <c r="X93" s="1"/>
  <c r="AD228"/>
  <c r="AD227"/>
  <c r="L99"/>
  <c r="L100" s="1"/>
  <c r="L268" s="1"/>
  <c r="L310" s="1"/>
  <c r="L92"/>
  <c r="L93" s="1"/>
  <c r="U99"/>
  <c r="U100" s="1"/>
  <c r="U268" s="1"/>
  <c r="U92"/>
  <c r="U93" s="1"/>
  <c r="Q99"/>
  <c r="Q100" s="1"/>
  <c r="Q268" s="1"/>
  <c r="Q92"/>
  <c r="Q93" s="1"/>
  <c r="AD83"/>
  <c r="I99"/>
  <c r="I92"/>
  <c r="T99"/>
  <c r="T100" s="1"/>
  <c r="T268" s="1"/>
  <c r="T92"/>
  <c r="T93" s="1"/>
  <c r="AD226"/>
  <c r="AD225"/>
  <c r="S99"/>
  <c r="S100" s="1"/>
  <c r="S268" s="1"/>
  <c r="S92"/>
  <c r="S93" s="1"/>
  <c r="P99"/>
  <c r="P100" s="1"/>
  <c r="P268" s="1"/>
  <c r="P92"/>
  <c r="P93" s="1"/>
  <c r="O99"/>
  <c r="O100" s="1"/>
  <c r="O268" s="1"/>
  <c r="O92"/>
  <c r="O93" s="1"/>
  <c r="W99"/>
  <c r="W100" s="1"/>
  <c r="W268" s="1"/>
  <c r="W92"/>
  <c r="W93" s="1"/>
  <c r="V99"/>
  <c r="V100" s="1"/>
  <c r="V268" s="1"/>
  <c r="V92"/>
  <c r="V93" s="1"/>
  <c r="R99"/>
  <c r="R100" s="1"/>
  <c r="R268" s="1"/>
  <c r="R92"/>
  <c r="R93" s="1"/>
  <c r="J99"/>
  <c r="J100" s="1"/>
  <c r="J268" s="1"/>
  <c r="J92"/>
  <c r="J93" s="1"/>
  <c r="M99"/>
  <c r="M100" s="1"/>
  <c r="M268" s="1"/>
  <c r="M92"/>
  <c r="M93" s="1"/>
  <c r="AC99"/>
  <c r="AC100" s="1"/>
  <c r="AC268" s="1"/>
  <c r="AC92"/>
  <c r="AC93" s="1"/>
  <c r="Y99"/>
  <c r="Y100" s="1"/>
  <c r="Y268" s="1"/>
  <c r="Y92"/>
  <c r="Y93" s="1"/>
  <c r="O94" i="32"/>
  <c r="O93"/>
  <c r="O92"/>
  <c r="O91"/>
  <c r="O90"/>
  <c r="O89"/>
  <c r="O88"/>
  <c r="P85"/>
  <c r="P86" s="1"/>
  <c r="K28" i="9"/>
  <c r="F20"/>
  <c r="H115" i="29" s="1"/>
  <c r="G20" i="9"/>
  <c r="I115" i="29" s="1"/>
  <c r="U28" i="9"/>
  <c r="U66" s="1"/>
  <c r="Q20"/>
  <c r="S115" i="29" s="1"/>
  <c r="L28" i="9"/>
  <c r="L38" s="1"/>
  <c r="N40" i="34" s="1"/>
  <c r="K20" i="9"/>
  <c r="M115" i="29" s="1"/>
  <c r="L20" i="9"/>
  <c r="N115" i="29" s="1"/>
  <c r="H28" i="9"/>
  <c r="H66" s="1"/>
  <c r="Q28"/>
  <c r="Q38" s="1"/>
  <c r="S40" i="34" s="1"/>
  <c r="J20" i="9"/>
  <c r="L115" i="29" s="1"/>
  <c r="O28" i="9"/>
  <c r="O66" s="1"/>
  <c r="P20"/>
  <c r="R115" i="29" s="1"/>
  <c r="P28" i="9"/>
  <c r="P38" s="1"/>
  <c r="R40" i="34" s="1"/>
  <c r="N20" i="9"/>
  <c r="P115" i="29" s="1"/>
  <c r="J28" i="9"/>
  <c r="E66"/>
  <c r="G157" i="29" s="1"/>
  <c r="I28" i="9"/>
  <c r="I66" s="1"/>
  <c r="S28"/>
  <c r="S38" s="1"/>
  <c r="U40" i="34" s="1"/>
  <c r="T20" i="9"/>
  <c r="T28"/>
  <c r="T66" s="1"/>
  <c r="R20"/>
  <c r="T115" i="29" s="1"/>
  <c r="S20" i="9"/>
  <c r="U115" i="29" s="1"/>
  <c r="N28" i="9"/>
  <c r="F28"/>
  <c r="E29"/>
  <c r="G63" i="29" s="1"/>
  <c r="G90" s="1"/>
  <c r="I20" i="9"/>
  <c r="K115" i="29" s="1"/>
  <c r="R28" i="9"/>
  <c r="R66" s="1"/>
  <c r="G28"/>
  <c r="G29" s="1"/>
  <c r="I63" i="29" s="1"/>
  <c r="H20" i="9"/>
  <c r="J115" i="29" s="1"/>
  <c r="M20" i="9"/>
  <c r="O115" i="29" s="1"/>
  <c r="M28" i="9"/>
  <c r="M66" s="1"/>
  <c r="V17"/>
  <c r="V19" s="1"/>
  <c r="V28" s="1"/>
  <c r="O20"/>
  <c r="Q115" i="29" s="1"/>
  <c r="D38" i="9"/>
  <c r="F40" i="34" s="1"/>
  <c r="D29" i="9"/>
  <c r="F63" i="29" s="1"/>
  <c r="Q66" i="9"/>
  <c r="V115" i="29"/>
  <c r="G38" i="9"/>
  <c r="I40" i="34" s="1"/>
  <c r="L66" i="9"/>
  <c r="F157" i="29"/>
  <c r="K38" i="9"/>
  <c r="M40" i="34" s="1"/>
  <c r="K66" i="9"/>
  <c r="H20" i="33"/>
  <c r="J19" i="34"/>
  <c r="G17" i="33"/>
  <c r="I17" i="34" s="1"/>
  <c r="I12"/>
  <c r="G19" i="33"/>
  <c r="J8"/>
  <c r="J9"/>
  <c r="L13" i="34" s="1"/>
  <c r="L63" s="1"/>
  <c r="I17" i="33"/>
  <c r="K17" i="34" s="1"/>
  <c r="I19" i="33"/>
  <c r="K12" i="34"/>
  <c r="F21" i="33"/>
  <c r="H21" i="34" s="1"/>
  <c r="H20"/>
  <c r="K12" i="33"/>
  <c r="K14" s="1"/>
  <c r="D66" i="34"/>
  <c r="G54"/>
  <c r="H55"/>
  <c r="H146" s="1"/>
  <c r="J54"/>
  <c r="F54"/>
  <c r="I129" l="1"/>
  <c r="H181"/>
  <c r="H182"/>
  <c r="H183"/>
  <c r="AD72" i="35"/>
  <c r="H310"/>
  <c r="H289"/>
  <c r="M304"/>
  <c r="M303"/>
  <c r="M305"/>
  <c r="N251"/>
  <c r="M284"/>
  <c r="M286" s="1"/>
  <c r="M282"/>
  <c r="M283"/>
  <c r="N249"/>
  <c r="R241" i="47"/>
  <c r="R239"/>
  <c r="R240"/>
  <c r="R247"/>
  <c r="R242"/>
  <c r="R246"/>
  <c r="R245"/>
  <c r="R251"/>
  <c r="R248"/>
  <c r="S189"/>
  <c r="R242" i="46"/>
  <c r="R240"/>
  <c r="R241"/>
  <c r="R243"/>
  <c r="R246"/>
  <c r="R247"/>
  <c r="R248"/>
  <c r="R249"/>
  <c r="R252"/>
  <c r="S189"/>
  <c r="R223"/>
  <c r="T245" i="45"/>
  <c r="T243"/>
  <c r="T244"/>
  <c r="T246"/>
  <c r="T249"/>
  <c r="T250"/>
  <c r="T251"/>
  <c r="T252"/>
  <c r="J285" i="35"/>
  <c r="J286" s="1"/>
  <c r="J306"/>
  <c r="J307" s="1"/>
  <c r="K289"/>
  <c r="K310"/>
  <c r="H285"/>
  <c r="H306"/>
  <c r="AC265"/>
  <c r="Y92" i="24" s="1"/>
  <c r="J289" i="35"/>
  <c r="J310"/>
  <c r="V265"/>
  <c r="R92" i="24" s="1"/>
  <c r="H163" i="34"/>
  <c r="H184"/>
  <c r="K265" i="35"/>
  <c r="G92" i="24" s="1"/>
  <c r="K306" i="35"/>
  <c r="K307" s="1"/>
  <c r="U265"/>
  <c r="Q92" i="24" s="1"/>
  <c r="S265" i="35"/>
  <c r="O92" i="24" s="1"/>
  <c r="R265" i="35"/>
  <c r="N92" i="24" s="1"/>
  <c r="Z265" i="35"/>
  <c r="V92" i="24" s="1"/>
  <c r="X265" i="35"/>
  <c r="T92" i="24" s="1"/>
  <c r="L265" i="35"/>
  <c r="H92" i="24" s="1"/>
  <c r="L306" i="35"/>
  <c r="L307" s="1"/>
  <c r="M265"/>
  <c r="I92" i="24" s="1"/>
  <c r="M306" i="35"/>
  <c r="M307" s="1"/>
  <c r="K105" i="34"/>
  <c r="K103"/>
  <c r="M289" i="35"/>
  <c r="M310"/>
  <c r="H167" i="34"/>
  <c r="H188"/>
  <c r="I103"/>
  <c r="I105"/>
  <c r="I106" s="1"/>
  <c r="O265" i="35"/>
  <c r="K92" i="24" s="1"/>
  <c r="AA265" i="35"/>
  <c r="W92" i="24" s="1"/>
  <c r="R236" i="44"/>
  <c r="R237"/>
  <c r="R238"/>
  <c r="S183"/>
  <c r="R215"/>
  <c r="R216"/>
  <c r="R217"/>
  <c r="S181"/>
  <c r="R224" i="45"/>
  <c r="R222"/>
  <c r="R223"/>
  <c r="R231"/>
  <c r="R225"/>
  <c r="R228"/>
  <c r="R229"/>
  <c r="R230"/>
  <c r="S187"/>
  <c r="Q226"/>
  <c r="S221" i="46"/>
  <c r="S220"/>
  <c r="S219"/>
  <c r="S222"/>
  <c r="S226"/>
  <c r="S225"/>
  <c r="S231"/>
  <c r="S227"/>
  <c r="S228"/>
  <c r="K111" i="34"/>
  <c r="K112" s="1"/>
  <c r="K109"/>
  <c r="K110" s="1"/>
  <c r="I127"/>
  <c r="H162"/>
  <c r="H161"/>
  <c r="H160"/>
  <c r="I111"/>
  <c r="I109"/>
  <c r="H143"/>
  <c r="D94" i="24" s="1"/>
  <c r="J143" i="34"/>
  <c r="F94" i="24" s="1"/>
  <c r="H115" i="34"/>
  <c r="H116" s="1"/>
  <c r="H119"/>
  <c r="H120" s="1"/>
  <c r="H117"/>
  <c r="H118" s="1"/>
  <c r="W265" i="35"/>
  <c r="S92" i="24" s="1"/>
  <c r="J265" i="35"/>
  <c r="F92" i="24" s="1"/>
  <c r="L285" i="35"/>
  <c r="L286" s="1"/>
  <c r="K285"/>
  <c r="K286" s="1"/>
  <c r="P265"/>
  <c r="L92" i="24" s="1"/>
  <c r="AD73" i="35"/>
  <c r="L289"/>
  <c r="AD66"/>
  <c r="I264"/>
  <c r="R220" i="47"/>
  <c r="R218"/>
  <c r="R219"/>
  <c r="R226"/>
  <c r="R221"/>
  <c r="R225"/>
  <c r="R224"/>
  <c r="R227"/>
  <c r="R230"/>
  <c r="S187"/>
  <c r="Q222"/>
  <c r="F66" i="34"/>
  <c r="J66"/>
  <c r="K66"/>
  <c r="G66"/>
  <c r="L66"/>
  <c r="H66"/>
  <c r="I66"/>
  <c r="G55"/>
  <c r="G146" s="1"/>
  <c r="J55"/>
  <c r="J146" s="1"/>
  <c r="F55"/>
  <c r="F146" s="1"/>
  <c r="T187" i="46"/>
  <c r="U189" i="45"/>
  <c r="I93" i="35"/>
  <c r="AD92"/>
  <c r="I100"/>
  <c r="I268" s="1"/>
  <c r="AD99"/>
  <c r="P94" i="32"/>
  <c r="P93"/>
  <c r="P92"/>
  <c r="P91"/>
  <c r="P90"/>
  <c r="P89"/>
  <c r="P88"/>
  <c r="Q85"/>
  <c r="Q86" s="1"/>
  <c r="H83" i="34"/>
  <c r="I104"/>
  <c r="K106"/>
  <c r="K104"/>
  <c r="F127" i="29"/>
  <c r="P66" i="9"/>
  <c r="I38"/>
  <c r="K40" i="34" s="1"/>
  <c r="O38" i="9"/>
  <c r="Q40" i="34" s="1"/>
  <c r="G127" i="29"/>
  <c r="R38" i="9"/>
  <c r="T40" i="34" s="1"/>
  <c r="U38" i="9"/>
  <c r="W40" i="34" s="1"/>
  <c r="M38" i="9"/>
  <c r="O40" i="34" s="1"/>
  <c r="T38" i="9"/>
  <c r="V40" i="34" s="1"/>
  <c r="G66" i="9"/>
  <c r="I157" i="29" s="1"/>
  <c r="W19" i="9"/>
  <c r="W20" s="1"/>
  <c r="H38"/>
  <c r="J40" i="34" s="1"/>
  <c r="V20" i="9"/>
  <c r="S66"/>
  <c r="U157" i="29" s="1"/>
  <c r="F38" i="9"/>
  <c r="H40" i="34" s="1"/>
  <c r="F29" i="9"/>
  <c r="H63" i="29" s="1"/>
  <c r="F66" i="9"/>
  <c r="H157" i="29" s="1"/>
  <c r="N38" i="9"/>
  <c r="P40" i="34" s="1"/>
  <c r="N66" i="9"/>
  <c r="P157" i="29" s="1"/>
  <c r="J38" i="9"/>
  <c r="L40" i="34" s="1"/>
  <c r="J66" i="9"/>
  <c r="L157" i="29" s="1"/>
  <c r="I90"/>
  <c r="I127"/>
  <c r="V157"/>
  <c r="Q157"/>
  <c r="N157"/>
  <c r="X115"/>
  <c r="S157"/>
  <c r="O157"/>
  <c r="V38" i="9"/>
  <c r="X40" i="34" s="1"/>
  <c r="V66" i="9"/>
  <c r="R157" i="29"/>
  <c r="M157"/>
  <c r="T157"/>
  <c r="W157"/>
  <c r="J157"/>
  <c r="K157"/>
  <c r="K38" i="34"/>
  <c r="K54" s="1"/>
  <c r="J19" i="33"/>
  <c r="L12" i="34"/>
  <c r="J17" i="33"/>
  <c r="L17" i="34" s="1"/>
  <c r="I38"/>
  <c r="I54" s="1"/>
  <c r="K9" i="33"/>
  <c r="M13" i="34" s="1"/>
  <c r="M63" s="1"/>
  <c r="M66" s="1"/>
  <c r="K8" i="33"/>
  <c r="I20"/>
  <c r="K19" i="34"/>
  <c r="I19"/>
  <c r="G20" i="33"/>
  <c r="H21"/>
  <c r="J21" i="34" s="1"/>
  <c r="J20"/>
  <c r="L12" i="33"/>
  <c r="L14" s="1"/>
  <c r="H29" i="9"/>
  <c r="J63" i="29" s="1"/>
  <c r="J129" i="34" l="1"/>
  <c r="I181"/>
  <c r="I182"/>
  <c r="I183"/>
  <c r="J188"/>
  <c r="N283" i="35"/>
  <c r="N282"/>
  <c r="N284"/>
  <c r="O249"/>
  <c r="N289"/>
  <c r="N285"/>
  <c r="N304"/>
  <c r="N305"/>
  <c r="N303"/>
  <c r="O251"/>
  <c r="N310"/>
  <c r="N306"/>
  <c r="N307" s="1"/>
  <c r="S241" i="47"/>
  <c r="S239"/>
  <c r="S240"/>
  <c r="S247"/>
  <c r="S242"/>
  <c r="S245"/>
  <c r="S246"/>
  <c r="S248"/>
  <c r="S251"/>
  <c r="T189"/>
  <c r="S242" i="46"/>
  <c r="S240"/>
  <c r="S241"/>
  <c r="S243"/>
  <c r="S247"/>
  <c r="S246"/>
  <c r="S248"/>
  <c r="S249"/>
  <c r="S252"/>
  <c r="T189"/>
  <c r="S223"/>
  <c r="R226" i="45"/>
  <c r="U245"/>
  <c r="U243"/>
  <c r="U244"/>
  <c r="U250"/>
  <c r="U246"/>
  <c r="U249"/>
  <c r="U251"/>
  <c r="U252"/>
  <c r="G167" i="34"/>
  <c r="G188"/>
  <c r="H185"/>
  <c r="L103"/>
  <c r="L104" s="1"/>
  <c r="L105"/>
  <c r="I289" i="35"/>
  <c r="I310"/>
  <c r="I285"/>
  <c r="I306"/>
  <c r="F167" i="34"/>
  <c r="F188"/>
  <c r="S238" i="44"/>
  <c r="S236"/>
  <c r="S237"/>
  <c r="T183"/>
  <c r="S217"/>
  <c r="S216"/>
  <c r="S215"/>
  <c r="T181"/>
  <c r="S224" i="45"/>
  <c r="S222"/>
  <c r="S223"/>
  <c r="S231"/>
  <c r="S229"/>
  <c r="S225"/>
  <c r="S226" s="1"/>
  <c r="S228"/>
  <c r="S230"/>
  <c r="T187"/>
  <c r="T221" i="46"/>
  <c r="T220"/>
  <c r="T219"/>
  <c r="T222"/>
  <c r="T231"/>
  <c r="T226"/>
  <c r="T225"/>
  <c r="T227"/>
  <c r="T228"/>
  <c r="I110" i="34"/>
  <c r="L109"/>
  <c r="L110" s="1"/>
  <c r="L111"/>
  <c r="L112" s="1"/>
  <c r="J127"/>
  <c r="I162"/>
  <c r="I160"/>
  <c r="I161"/>
  <c r="I112"/>
  <c r="J167"/>
  <c r="J119"/>
  <c r="J120" s="1"/>
  <c r="J117"/>
  <c r="J118" s="1"/>
  <c r="J115"/>
  <c r="J116" s="1"/>
  <c r="AG18" i="35"/>
  <c r="R222" i="47"/>
  <c r="S220"/>
  <c r="S218"/>
  <c r="S219"/>
  <c r="S226"/>
  <c r="S221"/>
  <c r="S224"/>
  <c r="S225"/>
  <c r="S227"/>
  <c r="S230"/>
  <c r="T187"/>
  <c r="K142" i="34"/>
  <c r="H151"/>
  <c r="I142"/>
  <c r="I184" s="1"/>
  <c r="I185" s="1"/>
  <c r="I55"/>
  <c r="I146" s="1"/>
  <c r="K55"/>
  <c r="K146" s="1"/>
  <c r="U187" i="46"/>
  <c r="V189" i="45"/>
  <c r="AD93" i="35"/>
  <c r="AD100"/>
  <c r="Q94" i="32"/>
  <c r="Q93"/>
  <c r="Q92"/>
  <c r="Q91"/>
  <c r="Q90"/>
  <c r="Q89"/>
  <c r="Q88"/>
  <c r="R85"/>
  <c r="R86" s="1"/>
  <c r="L106" i="34"/>
  <c r="H122"/>
  <c r="J83"/>
  <c r="W28" i="9"/>
  <c r="X19"/>
  <c r="X28" s="1"/>
  <c r="H127" i="29"/>
  <c r="H90"/>
  <c r="J90"/>
  <c r="J127"/>
  <c r="Y115"/>
  <c r="W38" i="9"/>
  <c r="Y40" i="34" s="1"/>
  <c r="W66" i="9"/>
  <c r="X157" i="29"/>
  <c r="K17" i="33"/>
  <c r="M17" i="34" s="1"/>
  <c r="M12"/>
  <c r="K19" i="33"/>
  <c r="L38" i="34"/>
  <c r="L8" i="33"/>
  <c r="L9"/>
  <c r="N13" i="34" s="1"/>
  <c r="N63" s="1"/>
  <c r="N66" s="1"/>
  <c r="I20"/>
  <c r="G21" i="33"/>
  <c r="I21" i="34" s="1"/>
  <c r="I21" i="33"/>
  <c r="K21" i="34" s="1"/>
  <c r="K20"/>
  <c r="J20" i="33"/>
  <c r="L19" i="34"/>
  <c r="M12" i="33"/>
  <c r="M14" s="1"/>
  <c r="I29" i="9"/>
  <c r="K63" i="29" s="1"/>
  <c r="K129" i="34" l="1"/>
  <c r="K184" s="1"/>
  <c r="J182"/>
  <c r="J183"/>
  <c r="J181"/>
  <c r="J184"/>
  <c r="O305" i="35"/>
  <c r="O304"/>
  <c r="O303"/>
  <c r="P251"/>
  <c r="O310"/>
  <c r="O306"/>
  <c r="N286"/>
  <c r="O282"/>
  <c r="O283"/>
  <c r="O284"/>
  <c r="P249"/>
  <c r="O289"/>
  <c r="O285"/>
  <c r="T241" i="47"/>
  <c r="T239"/>
  <c r="T240"/>
  <c r="T242"/>
  <c r="T246"/>
  <c r="T247"/>
  <c r="T245"/>
  <c r="T248"/>
  <c r="T251"/>
  <c r="U189"/>
  <c r="S222"/>
  <c r="T242" i="46"/>
  <c r="T240"/>
  <c r="T241"/>
  <c r="T243"/>
  <c r="T247"/>
  <c r="T246"/>
  <c r="T248"/>
  <c r="T249"/>
  <c r="T252"/>
  <c r="U189"/>
  <c r="V245" i="45"/>
  <c r="V243"/>
  <c r="V244"/>
  <c r="V246"/>
  <c r="V250"/>
  <c r="V249"/>
  <c r="V251"/>
  <c r="V252"/>
  <c r="H172" i="34"/>
  <c r="H193"/>
  <c r="M103"/>
  <c r="M104" s="1"/>
  <c r="M105"/>
  <c r="I167"/>
  <c r="I188"/>
  <c r="T236" i="44"/>
  <c r="T238"/>
  <c r="T237"/>
  <c r="U183"/>
  <c r="T217"/>
  <c r="T215"/>
  <c r="T216"/>
  <c r="U181"/>
  <c r="T224" i="45"/>
  <c r="T222"/>
  <c r="T223"/>
  <c r="T231"/>
  <c r="T225"/>
  <c r="T229"/>
  <c r="T228"/>
  <c r="T230"/>
  <c r="U187"/>
  <c r="T223" i="46"/>
  <c r="U221"/>
  <c r="U219"/>
  <c r="U220"/>
  <c r="U222"/>
  <c r="U223" s="1"/>
  <c r="U231"/>
  <c r="U226"/>
  <c r="U225"/>
  <c r="U227"/>
  <c r="U228"/>
  <c r="M111" i="34"/>
  <c r="M112" s="1"/>
  <c r="M109"/>
  <c r="K127"/>
  <c r="K167" s="1"/>
  <c r="J160"/>
  <c r="J162"/>
  <c r="J161"/>
  <c r="J163"/>
  <c r="K143"/>
  <c r="G94" i="24" s="1"/>
  <c r="K163" i="34"/>
  <c r="I143"/>
  <c r="E94" i="24" s="1"/>
  <c r="I163" i="34"/>
  <c r="I119"/>
  <c r="I120" s="1"/>
  <c r="I117"/>
  <c r="I118" s="1"/>
  <c r="I115"/>
  <c r="I116" s="1"/>
  <c r="K115"/>
  <c r="K116" s="1"/>
  <c r="K119"/>
  <c r="K120" s="1"/>
  <c r="K117"/>
  <c r="K118" s="1"/>
  <c r="T220" i="47"/>
  <c r="T219"/>
  <c r="T218"/>
  <c r="T221"/>
  <c r="T225"/>
  <c r="T226"/>
  <c r="T227"/>
  <c r="T224"/>
  <c r="T230"/>
  <c r="U187"/>
  <c r="L142" i="34"/>
  <c r="J151"/>
  <c r="V187" i="46"/>
  <c r="W189" i="45"/>
  <c r="AG19" i="35"/>
  <c r="AG21"/>
  <c r="R94" i="32"/>
  <c r="R93"/>
  <c r="R92"/>
  <c r="R91"/>
  <c r="R90"/>
  <c r="R89"/>
  <c r="R88"/>
  <c r="S85"/>
  <c r="S86" s="1"/>
  <c r="M106" i="34"/>
  <c r="J122"/>
  <c r="I83"/>
  <c r="K83"/>
  <c r="Y19" i="9"/>
  <c r="X20"/>
  <c r="Z115" i="29" s="1"/>
  <c r="K90"/>
  <c r="K127"/>
  <c r="Y157"/>
  <c r="X38" i="9"/>
  <c r="Z40" i="34" s="1"/>
  <c r="X66" i="9"/>
  <c r="Z19"/>
  <c r="Y20"/>
  <c r="Y28"/>
  <c r="J21" i="33"/>
  <c r="L21" i="34" s="1"/>
  <c r="L20"/>
  <c r="L17" i="33"/>
  <c r="N17" i="34" s="1"/>
  <c r="L19" i="33"/>
  <c r="N12" i="34"/>
  <c r="L54"/>
  <c r="M38"/>
  <c r="M8" i="33"/>
  <c r="M9"/>
  <c r="O13" i="34" s="1"/>
  <c r="O63" s="1"/>
  <c r="O66" s="1"/>
  <c r="K20" i="33"/>
  <c r="M19" i="34"/>
  <c r="N12" i="33"/>
  <c r="N14" s="1"/>
  <c r="J29" i="9"/>
  <c r="L63" i="29" s="1"/>
  <c r="L129" i="34" l="1"/>
  <c r="K181"/>
  <c r="K182"/>
  <c r="K183"/>
  <c r="J185"/>
  <c r="K188"/>
  <c r="P282" i="35"/>
  <c r="P283"/>
  <c r="P284"/>
  <c r="Q249"/>
  <c r="P285"/>
  <c r="P289"/>
  <c r="P305"/>
  <c r="P303"/>
  <c r="P304"/>
  <c r="Q251"/>
  <c r="P310"/>
  <c r="P306"/>
  <c r="O286"/>
  <c r="O307"/>
  <c r="U241" i="47"/>
  <c r="U240"/>
  <c r="U239"/>
  <c r="U242"/>
  <c r="U247"/>
  <c r="U246"/>
  <c r="U245"/>
  <c r="U251"/>
  <c r="U248"/>
  <c r="V189"/>
  <c r="U242" i="46"/>
  <c r="U240"/>
  <c r="U241"/>
  <c r="U243"/>
  <c r="U246"/>
  <c r="U247"/>
  <c r="U248"/>
  <c r="U249"/>
  <c r="U252"/>
  <c r="V189"/>
  <c r="W245" i="45"/>
  <c r="W243"/>
  <c r="W244"/>
  <c r="W246"/>
  <c r="W249"/>
  <c r="W250"/>
  <c r="W251"/>
  <c r="W252"/>
  <c r="T226"/>
  <c r="J172" i="34"/>
  <c r="J193"/>
  <c r="N103"/>
  <c r="N104" s="1"/>
  <c r="N105"/>
  <c r="U236" i="44"/>
  <c r="U238"/>
  <c r="U237"/>
  <c r="V183"/>
  <c r="U217"/>
  <c r="U216"/>
  <c r="U215"/>
  <c r="V181"/>
  <c r="U224" i="45"/>
  <c r="U222"/>
  <c r="U223"/>
  <c r="U231"/>
  <c r="U229"/>
  <c r="U225"/>
  <c r="U228"/>
  <c r="U230"/>
  <c r="V187"/>
  <c r="V221" i="46"/>
  <c r="V220"/>
  <c r="V219"/>
  <c r="V222"/>
  <c r="V225"/>
  <c r="V226"/>
  <c r="V231"/>
  <c r="V227"/>
  <c r="V228"/>
  <c r="N111" i="34"/>
  <c r="N109"/>
  <c r="N110" s="1"/>
  <c r="M110"/>
  <c r="L127"/>
  <c r="K161"/>
  <c r="K162"/>
  <c r="K160"/>
  <c r="L143"/>
  <c r="H94" i="24" s="1"/>
  <c r="L163" i="34"/>
  <c r="L115"/>
  <c r="L116" s="1"/>
  <c r="L119"/>
  <c r="L120" s="1"/>
  <c r="L117"/>
  <c r="L118" s="1"/>
  <c r="U220" i="47"/>
  <c r="U219"/>
  <c r="U218"/>
  <c r="U226"/>
  <c r="U221"/>
  <c r="U224"/>
  <c r="U225"/>
  <c r="U227"/>
  <c r="U230"/>
  <c r="V187"/>
  <c r="T222"/>
  <c r="I151" i="34"/>
  <c r="K151"/>
  <c r="M142"/>
  <c r="L55"/>
  <c r="L146" s="1"/>
  <c r="W187" i="46"/>
  <c r="X189" i="45"/>
  <c r="K122" i="34"/>
  <c r="S94" i="32"/>
  <c r="S93"/>
  <c r="S92"/>
  <c r="S91"/>
  <c r="S90"/>
  <c r="S89"/>
  <c r="S88"/>
  <c r="T85"/>
  <c r="T86" s="1"/>
  <c r="N106" i="34"/>
  <c r="I122"/>
  <c r="L83"/>
  <c r="L90" i="29"/>
  <c r="L127"/>
  <c r="Z157"/>
  <c r="Y38" i="9"/>
  <c r="AA40" i="34" s="1"/>
  <c r="Y66" i="9"/>
  <c r="AA19"/>
  <c r="Z28"/>
  <c r="Z20"/>
  <c r="AA115" i="29"/>
  <c r="K21" i="33"/>
  <c r="M21" i="34" s="1"/>
  <c r="M20"/>
  <c r="L20" i="33"/>
  <c r="N19" i="34"/>
  <c r="N8" i="33"/>
  <c r="N9"/>
  <c r="P13" i="34" s="1"/>
  <c r="P63" s="1"/>
  <c r="P66" s="1"/>
  <c r="M17" i="33"/>
  <c r="O17" i="34" s="1"/>
  <c r="M19" i="33"/>
  <c r="O12" i="34"/>
  <c r="N38"/>
  <c r="M54"/>
  <c r="O12" i="33"/>
  <c r="O14" s="1"/>
  <c r="K29" i="9"/>
  <c r="M63" i="29" s="1"/>
  <c r="K185" i="34" l="1"/>
  <c r="M129"/>
  <c r="L181"/>
  <c r="L182"/>
  <c r="L183"/>
  <c r="M184"/>
  <c r="L184"/>
  <c r="Q303" i="35"/>
  <c r="Q305"/>
  <c r="Q304"/>
  <c r="R251"/>
  <c r="Q306"/>
  <c r="Q310"/>
  <c r="Q284"/>
  <c r="Q282"/>
  <c r="Q283"/>
  <c r="R249"/>
  <c r="Q285"/>
  <c r="Q289"/>
  <c r="P307"/>
  <c r="P286"/>
  <c r="V241" i="47"/>
  <c r="V240"/>
  <c r="V239"/>
  <c r="V247"/>
  <c r="V246"/>
  <c r="V242"/>
  <c r="V245"/>
  <c r="V248"/>
  <c r="V251"/>
  <c r="W189"/>
  <c r="V242" i="46"/>
  <c r="V240"/>
  <c r="V241"/>
  <c r="V243"/>
  <c r="V246"/>
  <c r="V247"/>
  <c r="V248"/>
  <c r="V249"/>
  <c r="V252"/>
  <c r="W189"/>
  <c r="V223"/>
  <c r="X245" i="45"/>
  <c r="X243"/>
  <c r="X244"/>
  <c r="X250"/>
  <c r="X246"/>
  <c r="X249"/>
  <c r="X251"/>
  <c r="X252"/>
  <c r="O105" i="34"/>
  <c r="O103"/>
  <c r="O104" s="1"/>
  <c r="L167"/>
  <c r="L188"/>
  <c r="I172"/>
  <c r="I193"/>
  <c r="K172"/>
  <c r="K193"/>
  <c r="V237" i="44"/>
  <c r="V238"/>
  <c r="V236"/>
  <c r="W183"/>
  <c r="V215"/>
  <c r="V216"/>
  <c r="V217"/>
  <c r="W181"/>
  <c r="U226" i="45"/>
  <c r="V224"/>
  <c r="V222"/>
  <c r="V223"/>
  <c r="V231"/>
  <c r="V229"/>
  <c r="V225"/>
  <c r="V228"/>
  <c r="V230"/>
  <c r="W187"/>
  <c r="W221" i="46"/>
  <c r="W220"/>
  <c r="W219"/>
  <c r="W222"/>
  <c r="W226"/>
  <c r="W225"/>
  <c r="W227"/>
  <c r="W231"/>
  <c r="W228"/>
  <c r="N112" i="34"/>
  <c r="M127"/>
  <c r="L160"/>
  <c r="L161"/>
  <c r="L162"/>
  <c r="O111"/>
  <c r="O112" s="1"/>
  <c r="O109"/>
  <c r="O110" s="1"/>
  <c r="N142"/>
  <c r="M143"/>
  <c r="I94" i="24" s="1"/>
  <c r="M119" i="34"/>
  <c r="M120" s="1"/>
  <c r="M117"/>
  <c r="M118" s="1"/>
  <c r="M115"/>
  <c r="M116" s="1"/>
  <c r="V220" i="47"/>
  <c r="V219"/>
  <c r="V218"/>
  <c r="V225"/>
  <c r="V221"/>
  <c r="V226"/>
  <c r="V224"/>
  <c r="V230"/>
  <c r="V227"/>
  <c r="W187"/>
  <c r="U222"/>
  <c r="L151" i="34"/>
  <c r="M55"/>
  <c r="M146" s="1"/>
  <c r="X187" i="46"/>
  <c r="Y189" i="45"/>
  <c r="T94" i="32"/>
  <c r="T93"/>
  <c r="T92"/>
  <c r="T91"/>
  <c r="T90"/>
  <c r="T89"/>
  <c r="T88"/>
  <c r="U85"/>
  <c r="U86" s="1"/>
  <c r="O106" i="34"/>
  <c r="L122"/>
  <c r="M83"/>
  <c r="M90" i="29"/>
  <c r="M127"/>
  <c r="AA157"/>
  <c r="Z38" i="9"/>
  <c r="AB40" i="34" s="1"/>
  <c r="Z66" i="9"/>
  <c r="AA28"/>
  <c r="AA20"/>
  <c r="AB115" i="29"/>
  <c r="O38" i="34"/>
  <c r="N19" i="33"/>
  <c r="N17"/>
  <c r="P17" i="34" s="1"/>
  <c r="P12"/>
  <c r="O9" i="33"/>
  <c r="Q13" i="34" s="1"/>
  <c r="Q63" s="1"/>
  <c r="Q66" s="1"/>
  <c r="O8" i="33"/>
  <c r="L21"/>
  <c r="N21" i="34" s="1"/>
  <c r="N20"/>
  <c r="N54"/>
  <c r="M20" i="33"/>
  <c r="O19" i="34"/>
  <c r="P12" i="33"/>
  <c r="P14" s="1"/>
  <c r="L29" i="9"/>
  <c r="N63" i="29" s="1"/>
  <c r="N129" i="34" l="1"/>
  <c r="M181"/>
  <c r="M182"/>
  <c r="M183"/>
  <c r="L185"/>
  <c r="Q286" i="35"/>
  <c r="R303"/>
  <c r="R304"/>
  <c r="R305"/>
  <c r="S251"/>
  <c r="R306"/>
  <c r="R310"/>
  <c r="Q307"/>
  <c r="R282"/>
  <c r="R284"/>
  <c r="R283"/>
  <c r="R285"/>
  <c r="S249"/>
  <c r="R289"/>
  <c r="W241" i="47"/>
  <c r="W240"/>
  <c r="W239"/>
  <c r="W242"/>
  <c r="W247"/>
  <c r="W246"/>
  <c r="W245"/>
  <c r="W248"/>
  <c r="W251"/>
  <c r="X189"/>
  <c r="W223" i="46"/>
  <c r="W242"/>
  <c r="W240"/>
  <c r="W241"/>
  <c r="W243"/>
  <c r="W246"/>
  <c r="W247"/>
  <c r="W248"/>
  <c r="W249"/>
  <c r="W252"/>
  <c r="X189"/>
  <c r="Y245" i="45"/>
  <c r="Y243"/>
  <c r="Y244"/>
  <c r="Y246"/>
  <c r="Y249"/>
  <c r="Y250"/>
  <c r="Y251"/>
  <c r="Y252"/>
  <c r="V226"/>
  <c r="M167" i="34"/>
  <c r="M188"/>
  <c r="N143"/>
  <c r="J94" i="24" s="1"/>
  <c r="N184" i="34"/>
  <c r="L172"/>
  <c r="L193"/>
  <c r="P105"/>
  <c r="P103"/>
  <c r="W238" i="44"/>
  <c r="W236"/>
  <c r="W237"/>
  <c r="X183"/>
  <c r="W216"/>
  <c r="W217"/>
  <c r="W215"/>
  <c r="X181"/>
  <c r="W224" i="45"/>
  <c r="W222"/>
  <c r="W223"/>
  <c r="W231"/>
  <c r="W229"/>
  <c r="W225"/>
  <c r="W228"/>
  <c r="W230"/>
  <c r="X187"/>
  <c r="X221" i="46"/>
  <c r="X220"/>
  <c r="X219"/>
  <c r="X231"/>
  <c r="X225"/>
  <c r="X222"/>
  <c r="X226"/>
  <c r="X227"/>
  <c r="X228"/>
  <c r="V222" i="47"/>
  <c r="N127" i="34"/>
  <c r="M161"/>
  <c r="M160"/>
  <c r="M162"/>
  <c r="P109"/>
  <c r="P111"/>
  <c r="M163"/>
  <c r="N115"/>
  <c r="N116" s="1"/>
  <c r="N119"/>
  <c r="N120" s="1"/>
  <c r="N117"/>
  <c r="N118" s="1"/>
  <c r="W220" i="47"/>
  <c r="W219"/>
  <c r="W218"/>
  <c r="W226"/>
  <c r="W221"/>
  <c r="W225"/>
  <c r="W224"/>
  <c r="W227"/>
  <c r="W230"/>
  <c r="X187"/>
  <c r="O142" i="34"/>
  <c r="M151"/>
  <c r="N55"/>
  <c r="N146" s="1"/>
  <c r="Y187" i="46"/>
  <c r="Z189" i="45"/>
  <c r="U94" i="32"/>
  <c r="U93"/>
  <c r="U92"/>
  <c r="U91"/>
  <c r="U90"/>
  <c r="U89"/>
  <c r="U88"/>
  <c r="V85"/>
  <c r="V86" s="1"/>
  <c r="P104" i="34"/>
  <c r="P106"/>
  <c r="M122"/>
  <c r="N83"/>
  <c r="N90" i="29"/>
  <c r="N127"/>
  <c r="AA38" i="9"/>
  <c r="AC40" i="34" s="1"/>
  <c r="AA66" i="9"/>
  <c r="AC115" i="29"/>
  <c r="AD115" s="1"/>
  <c r="AB157"/>
  <c r="P38" i="34"/>
  <c r="P8" i="33"/>
  <c r="P9"/>
  <c r="R13" i="34" s="1"/>
  <c r="R63" s="1"/>
  <c r="R66" s="1"/>
  <c r="O17" i="33"/>
  <c r="Q17" i="34" s="1"/>
  <c r="Q12"/>
  <c r="O19" i="33"/>
  <c r="M21"/>
  <c r="O21" i="34" s="1"/>
  <c r="O20"/>
  <c r="O54"/>
  <c r="P19"/>
  <c r="N20" i="33"/>
  <c r="Q12"/>
  <c r="Q14" s="1"/>
  <c r="M29" i="9"/>
  <c r="O63" i="29" s="1"/>
  <c r="M185" i="34" l="1"/>
  <c r="O129"/>
  <c r="N181"/>
  <c r="N182"/>
  <c r="N183"/>
  <c r="N185" s="1"/>
  <c r="O184"/>
  <c r="S283" i="35"/>
  <c r="S284"/>
  <c r="S282"/>
  <c r="S289"/>
  <c r="S285"/>
  <c r="T249"/>
  <c r="S304"/>
  <c r="S303"/>
  <c r="S305"/>
  <c r="S310"/>
  <c r="T251"/>
  <c r="S306"/>
  <c r="R307"/>
  <c r="R286"/>
  <c r="X241" i="47"/>
  <c r="X240"/>
  <c r="X239"/>
  <c r="X247"/>
  <c r="X242"/>
  <c r="X246"/>
  <c r="X245"/>
  <c r="X248"/>
  <c r="X251"/>
  <c r="Y189"/>
  <c r="W222"/>
  <c r="X242" i="46"/>
  <c r="X240"/>
  <c r="X241"/>
  <c r="X243"/>
  <c r="X246"/>
  <c r="X247"/>
  <c r="X248"/>
  <c r="X249"/>
  <c r="X252"/>
  <c r="Y189"/>
  <c r="Z245" i="45"/>
  <c r="Z244"/>
  <c r="Z243"/>
  <c r="Z250"/>
  <c r="Z246"/>
  <c r="Z249"/>
  <c r="Z251"/>
  <c r="Z252"/>
  <c r="N167" i="34"/>
  <c r="N188"/>
  <c r="Q105"/>
  <c r="Q106" s="1"/>
  <c r="Q103"/>
  <c r="M172"/>
  <c r="M193"/>
  <c r="X236" i="44"/>
  <c r="X238"/>
  <c r="X237"/>
  <c r="Y183"/>
  <c r="X215"/>
  <c r="X216"/>
  <c r="X217"/>
  <c r="Y181"/>
  <c r="X224" i="45"/>
  <c r="X222"/>
  <c r="X223"/>
  <c r="X231"/>
  <c r="X229"/>
  <c r="X225"/>
  <c r="X228"/>
  <c r="X230"/>
  <c r="Y187"/>
  <c r="W226"/>
  <c r="Y221" i="46"/>
  <c r="Y219"/>
  <c r="Y220"/>
  <c r="Y222"/>
  <c r="Y223" s="1"/>
  <c r="Y226"/>
  <c r="Y225"/>
  <c r="Y231"/>
  <c r="Y227"/>
  <c r="Y228"/>
  <c r="X223"/>
  <c r="Q111" i="34"/>
  <c r="Q112" s="1"/>
  <c r="Q109"/>
  <c r="Q110" s="1"/>
  <c r="P110"/>
  <c r="P112"/>
  <c r="O127"/>
  <c r="O163" s="1"/>
  <c r="N162"/>
  <c r="N160"/>
  <c r="N161"/>
  <c r="N163"/>
  <c r="O143"/>
  <c r="K94" i="24" s="1"/>
  <c r="O115" i="34"/>
  <c r="O116" s="1"/>
  <c r="O119"/>
  <c r="O120" s="1"/>
  <c r="O117"/>
  <c r="O118" s="1"/>
  <c r="X220" i="47"/>
  <c r="X218"/>
  <c r="X219"/>
  <c r="X226"/>
  <c r="X221"/>
  <c r="X225"/>
  <c r="X224"/>
  <c r="X227"/>
  <c r="X230"/>
  <c r="Y187"/>
  <c r="N151" i="34"/>
  <c r="P142"/>
  <c r="O55"/>
  <c r="O146" s="1"/>
  <c r="Z187" i="46"/>
  <c r="AA189" i="45"/>
  <c r="V94" i="32"/>
  <c r="V93"/>
  <c r="V92"/>
  <c r="V91"/>
  <c r="V90"/>
  <c r="V89"/>
  <c r="V88"/>
  <c r="W85"/>
  <c r="W86" s="1"/>
  <c r="Q104" i="34"/>
  <c r="N122"/>
  <c r="O83"/>
  <c r="O90" i="29"/>
  <c r="O127"/>
  <c r="AC157"/>
  <c r="AD157" s="1"/>
  <c r="N21" i="33"/>
  <c r="P21" i="34" s="1"/>
  <c r="P20"/>
  <c r="Q8" i="33"/>
  <c r="Q9"/>
  <c r="S13" i="34" s="1"/>
  <c r="S63" s="1"/>
  <c r="S66" s="1"/>
  <c r="Q38"/>
  <c r="Q19"/>
  <c r="O20" i="33"/>
  <c r="P17"/>
  <c r="R17" i="34" s="1"/>
  <c r="P19" i="33"/>
  <c r="R12" i="34"/>
  <c r="P54"/>
  <c r="R12" i="33"/>
  <c r="R14" s="1"/>
  <c r="N29" i="9"/>
  <c r="P63" i="29" s="1"/>
  <c r="P129" i="34" l="1"/>
  <c r="O181"/>
  <c r="O182"/>
  <c r="O183"/>
  <c r="P184"/>
  <c r="T303" i="35"/>
  <c r="T305"/>
  <c r="T304"/>
  <c r="T306"/>
  <c r="T310"/>
  <c r="U251"/>
  <c r="S286"/>
  <c r="T282"/>
  <c r="T284"/>
  <c r="T283"/>
  <c r="T285"/>
  <c r="T289"/>
  <c r="U249"/>
  <c r="S307"/>
  <c r="Y241" i="47"/>
  <c r="Y240"/>
  <c r="Y239"/>
  <c r="Y242"/>
  <c r="Y247"/>
  <c r="Y245"/>
  <c r="Y246"/>
  <c r="Y248"/>
  <c r="Y251"/>
  <c r="Z189"/>
  <c r="Y242" i="46"/>
  <c r="Y240"/>
  <c r="Y241"/>
  <c r="Y243"/>
  <c r="Y246"/>
  <c r="Y247"/>
  <c r="Y248"/>
  <c r="Y249"/>
  <c r="Y252"/>
  <c r="Z189"/>
  <c r="AA245" i="45"/>
  <c r="AA244"/>
  <c r="AA243"/>
  <c r="AA249"/>
  <c r="AA246"/>
  <c r="AA250"/>
  <c r="AA251"/>
  <c r="AA252"/>
  <c r="O167" i="34"/>
  <c r="O188"/>
  <c r="R105"/>
  <c r="R103"/>
  <c r="R104" s="1"/>
  <c r="N172"/>
  <c r="N193"/>
  <c r="Y236" i="44"/>
  <c r="Y238"/>
  <c r="Y237"/>
  <c r="Z183"/>
  <c r="Y216"/>
  <c r="Y215"/>
  <c r="Y217"/>
  <c r="Z181"/>
  <c r="X226" i="45"/>
  <c r="Y224"/>
  <c r="Y222"/>
  <c r="Y223"/>
  <c r="Y231"/>
  <c r="Y225"/>
  <c r="Y229"/>
  <c r="Y228"/>
  <c r="Y230"/>
  <c r="Z187"/>
  <c r="Z221" i="46"/>
  <c r="Z219"/>
  <c r="Z220"/>
  <c r="Z222"/>
  <c r="Z223" s="1"/>
  <c r="Z225"/>
  <c r="Z231"/>
  <c r="Z226"/>
  <c r="Z227"/>
  <c r="Z228"/>
  <c r="X222" i="47"/>
  <c r="P127" i="34"/>
  <c r="O161"/>
  <c r="O162"/>
  <c r="O160"/>
  <c r="R109"/>
  <c r="R110" s="1"/>
  <c r="R111"/>
  <c r="R112" s="1"/>
  <c r="P143"/>
  <c r="L94" i="24" s="1"/>
  <c r="P163" i="34"/>
  <c r="P115"/>
  <c r="P116" s="1"/>
  <c r="P119"/>
  <c r="P120" s="1"/>
  <c r="P117"/>
  <c r="P118" s="1"/>
  <c r="Y220" i="47"/>
  <c r="Y218"/>
  <c r="Y219"/>
  <c r="Y221"/>
  <c r="Y226"/>
  <c r="Y225"/>
  <c r="Y224"/>
  <c r="Y230"/>
  <c r="Y227"/>
  <c r="Z187"/>
  <c r="O151" i="34"/>
  <c r="Q142"/>
  <c r="P55"/>
  <c r="P146" s="1"/>
  <c r="AA187" i="46"/>
  <c r="AB189" i="45"/>
  <c r="W94" i="32"/>
  <c r="W93"/>
  <c r="W92"/>
  <c r="W91"/>
  <c r="W90"/>
  <c r="W89"/>
  <c r="W88"/>
  <c r="R106" i="34"/>
  <c r="O122"/>
  <c r="P83"/>
  <c r="P90" i="29"/>
  <c r="P127"/>
  <c r="R38" i="34"/>
  <c r="R8" i="33"/>
  <c r="R9"/>
  <c r="T13" i="34" s="1"/>
  <c r="T63" s="1"/>
  <c r="T66" s="1"/>
  <c r="Q20"/>
  <c r="O21" i="33"/>
  <c r="Q21" i="34" s="1"/>
  <c r="Q54"/>
  <c r="P20" i="33"/>
  <c r="R19" i="34"/>
  <c r="Q17" i="33"/>
  <c r="S17" i="34" s="1"/>
  <c r="Q19" i="33"/>
  <c r="S12" i="34"/>
  <c r="S12" i="33"/>
  <c r="S14" s="1"/>
  <c r="O29" i="9"/>
  <c r="Q63" i="29" s="1"/>
  <c r="O185" i="34" l="1"/>
  <c r="Q129"/>
  <c r="P183"/>
  <c r="P181"/>
  <c r="P182"/>
  <c r="Q184"/>
  <c r="T286" i="35"/>
  <c r="U303"/>
  <c r="U305"/>
  <c r="U304"/>
  <c r="U306"/>
  <c r="U307" s="1"/>
  <c r="U310"/>
  <c r="V251"/>
  <c r="U284"/>
  <c r="U283"/>
  <c r="U282"/>
  <c r="U285"/>
  <c r="U286" s="1"/>
  <c r="U289"/>
  <c r="V249"/>
  <c r="T307"/>
  <c r="Z241" i="47"/>
  <c r="Z240"/>
  <c r="Z239"/>
  <c r="Z247"/>
  <c r="Z242"/>
  <c r="Z246"/>
  <c r="Z245"/>
  <c r="Z248"/>
  <c r="Z251"/>
  <c r="AA189"/>
  <c r="Z242" i="46"/>
  <c r="Z241"/>
  <c r="Z240"/>
  <c r="Z243"/>
  <c r="Z246"/>
  <c r="Z247"/>
  <c r="Z248"/>
  <c r="Z249"/>
  <c r="Z252"/>
  <c r="AA189"/>
  <c r="AB245" i="45"/>
  <c r="AB244"/>
  <c r="AB243"/>
  <c r="AB246"/>
  <c r="AB250"/>
  <c r="AB249"/>
  <c r="AB251"/>
  <c r="AB252"/>
  <c r="S105" i="34"/>
  <c r="S103"/>
  <c r="S104" s="1"/>
  <c r="O172"/>
  <c r="O193"/>
  <c r="P167"/>
  <c r="P188"/>
  <c r="Z237" i="44"/>
  <c r="Z238"/>
  <c r="Z236"/>
  <c r="AA183"/>
  <c r="Z215"/>
  <c r="Z217"/>
  <c r="Z216"/>
  <c r="AA181"/>
  <c r="Y226" i="45"/>
  <c r="Z224"/>
  <c r="Z223"/>
  <c r="Z222"/>
  <c r="Z231"/>
  <c r="Z229"/>
  <c r="Z225"/>
  <c r="Z228"/>
  <c r="Z230"/>
  <c r="AA187"/>
  <c r="AA221" i="46"/>
  <c r="AA219"/>
  <c r="AA220"/>
  <c r="AA222"/>
  <c r="AA223" s="1"/>
  <c r="AA226"/>
  <c r="AA231"/>
  <c r="AA225"/>
  <c r="AA227"/>
  <c r="AA228"/>
  <c r="S109" i="34"/>
  <c r="S110" s="1"/>
  <c r="S111"/>
  <c r="S112" s="1"/>
  <c r="Q127"/>
  <c r="Q163" s="1"/>
  <c r="P161"/>
  <c r="P160"/>
  <c r="P162"/>
  <c r="Q143"/>
  <c r="M94" i="24" s="1"/>
  <c r="Q119" i="34"/>
  <c r="Q120" s="1"/>
  <c r="Q117"/>
  <c r="Q118" s="1"/>
  <c r="Q115"/>
  <c r="Q116" s="1"/>
  <c r="Y222" i="47"/>
  <c r="Z220"/>
  <c r="Z219"/>
  <c r="Z218"/>
  <c r="Z221"/>
  <c r="Z225"/>
  <c r="Z226"/>
  <c r="Z224"/>
  <c r="Z227"/>
  <c r="Z230"/>
  <c r="AA187"/>
  <c r="P151" i="34"/>
  <c r="R142"/>
  <c r="Q55"/>
  <c r="Q146" s="1"/>
  <c r="AB187" i="46"/>
  <c r="AC189" i="45"/>
  <c r="S106" i="34"/>
  <c r="P122"/>
  <c r="Q83"/>
  <c r="Q90" i="29"/>
  <c r="Q127"/>
  <c r="S38" i="34"/>
  <c r="P21" i="33"/>
  <c r="R21" i="34" s="1"/>
  <c r="R20"/>
  <c r="R19" i="33"/>
  <c r="T12" i="34"/>
  <c r="R17" i="33"/>
  <c r="T17" i="34" s="1"/>
  <c r="R54"/>
  <c r="S9" i="33"/>
  <c r="U13" i="34" s="1"/>
  <c r="U63" s="1"/>
  <c r="U66" s="1"/>
  <c r="S8" i="33"/>
  <c r="Q20"/>
  <c r="S19" i="34"/>
  <c r="T12" i="33"/>
  <c r="T14" s="1"/>
  <c r="P29" i="9"/>
  <c r="R63" i="29" s="1"/>
  <c r="P185" i="34" l="1"/>
  <c r="R129"/>
  <c r="Q181"/>
  <c r="Q182"/>
  <c r="Q185" s="1"/>
  <c r="Q183"/>
  <c r="R184"/>
  <c r="V303" i="35"/>
  <c r="V304"/>
  <c r="V305"/>
  <c r="V306"/>
  <c r="V310"/>
  <c r="W251"/>
  <c r="V282"/>
  <c r="V284"/>
  <c r="V283"/>
  <c r="V289"/>
  <c r="V285"/>
  <c r="W249"/>
  <c r="AA241" i="47"/>
  <c r="AA240"/>
  <c r="AA239"/>
  <c r="AA242"/>
  <c r="AA247"/>
  <c r="AA246"/>
  <c r="AA245"/>
  <c r="AA248"/>
  <c r="AA251"/>
  <c r="AB189"/>
  <c r="AA242" i="46"/>
  <c r="AA241"/>
  <c r="AA240"/>
  <c r="AA243"/>
  <c r="AA247"/>
  <c r="AA246"/>
  <c r="AA248"/>
  <c r="AA249"/>
  <c r="AA252"/>
  <c r="AB189"/>
  <c r="AC245" i="45"/>
  <c r="AC244"/>
  <c r="AC243"/>
  <c r="AC249"/>
  <c r="AC246"/>
  <c r="AC250"/>
  <c r="AC251"/>
  <c r="AC252"/>
  <c r="Z226"/>
  <c r="Q167" i="34"/>
  <c r="Q188"/>
  <c r="P172"/>
  <c r="P193"/>
  <c r="T103"/>
  <c r="T105"/>
  <c r="AA237" i="44"/>
  <c r="AA238"/>
  <c r="AA236"/>
  <c r="AB183"/>
  <c r="AA217"/>
  <c r="AA215"/>
  <c r="AA216"/>
  <c r="AB181"/>
  <c r="AA224" i="45"/>
  <c r="AA223"/>
  <c r="AA222"/>
  <c r="AA231"/>
  <c r="AA225"/>
  <c r="AA226" s="1"/>
  <c r="AA228"/>
  <c r="AA229"/>
  <c r="AA230"/>
  <c r="AB187"/>
  <c r="AB221" i="46"/>
  <c r="AB219"/>
  <c r="AB220"/>
  <c r="AB222"/>
  <c r="AB223" s="1"/>
  <c r="AB231"/>
  <c r="AB226"/>
  <c r="AB225"/>
  <c r="AB227"/>
  <c r="AB228"/>
  <c r="R127" i="34"/>
  <c r="Q161"/>
  <c r="Q162"/>
  <c r="Q160"/>
  <c r="T109"/>
  <c r="T110" s="1"/>
  <c r="T111"/>
  <c r="T112" s="1"/>
  <c r="Q151"/>
  <c r="R143"/>
  <c r="N94" i="24" s="1"/>
  <c r="R163" i="34"/>
  <c r="R115"/>
  <c r="R116" s="1"/>
  <c r="R119"/>
  <c r="R120" s="1"/>
  <c r="R117"/>
  <c r="R118" s="1"/>
  <c r="Z222" i="47"/>
  <c r="AA220"/>
  <c r="AA219"/>
  <c r="AA218"/>
  <c r="AA221"/>
  <c r="AA226"/>
  <c r="AA224"/>
  <c r="AA225"/>
  <c r="AA227"/>
  <c r="AA230"/>
  <c r="AB187"/>
  <c r="S142" i="34"/>
  <c r="R55"/>
  <c r="R146" s="1"/>
  <c r="AC187" i="46"/>
  <c r="AE189" i="45"/>
  <c r="T106" i="34"/>
  <c r="T104"/>
  <c r="Q122"/>
  <c r="R83"/>
  <c r="R90" i="29"/>
  <c r="R127"/>
  <c r="R20" i="33"/>
  <c r="T19" i="34"/>
  <c r="T38"/>
  <c r="T8" i="33"/>
  <c r="T9"/>
  <c r="V13" i="34" s="1"/>
  <c r="V63" s="1"/>
  <c r="V66" s="1"/>
  <c r="S17" i="33"/>
  <c r="U17" i="34" s="1"/>
  <c r="S19" i="33"/>
  <c r="U12" i="34"/>
  <c r="Q21" i="33"/>
  <c r="S21" i="34" s="1"/>
  <c r="S20"/>
  <c r="S54"/>
  <c r="U12" i="33"/>
  <c r="U14" s="1"/>
  <c r="Q29" i="9"/>
  <c r="S63" i="29" s="1"/>
  <c r="S129" i="34" l="1"/>
  <c r="R181"/>
  <c r="R185" s="1"/>
  <c r="R182"/>
  <c r="R183"/>
  <c r="V307" i="35"/>
  <c r="W303"/>
  <c r="W305"/>
  <c r="W304"/>
  <c r="W310"/>
  <c r="W306"/>
  <c r="X251"/>
  <c r="V286"/>
  <c r="W283"/>
  <c r="W284"/>
  <c r="W282"/>
  <c r="W285"/>
  <c r="W289"/>
  <c r="X249"/>
  <c r="AB241" i="47"/>
  <c r="AB240"/>
  <c r="AB239"/>
  <c r="AB242"/>
  <c r="AB247"/>
  <c r="AB245"/>
  <c r="AB246"/>
  <c r="AB248"/>
  <c r="AB251"/>
  <c r="AC189"/>
  <c r="AB242" i="46"/>
  <c r="AB241"/>
  <c r="AB240"/>
  <c r="AB243"/>
  <c r="AB246"/>
  <c r="AB247"/>
  <c r="AB248"/>
  <c r="AB249"/>
  <c r="AB252"/>
  <c r="AC189"/>
  <c r="U105" i="34"/>
  <c r="U106" s="1"/>
  <c r="U103"/>
  <c r="R167"/>
  <c r="R188"/>
  <c r="Q172"/>
  <c r="Q193"/>
  <c r="AB237" i="44"/>
  <c r="AB236"/>
  <c r="AB238"/>
  <c r="AC183"/>
  <c r="AB217"/>
  <c r="AB215"/>
  <c r="AB216"/>
  <c r="AC181"/>
  <c r="AB224" i="45"/>
  <c r="AB223"/>
  <c r="AB222"/>
  <c r="AB231"/>
  <c r="AB229"/>
  <c r="AB225"/>
  <c r="AB228"/>
  <c r="AB230"/>
  <c r="AC187"/>
  <c r="AC221" i="46"/>
  <c r="D221" s="1"/>
  <c r="E9" i="24" s="1"/>
  <c r="AC220" i="46"/>
  <c r="D220" s="1"/>
  <c r="E8" i="24" s="1"/>
  <c r="AC219" i="46"/>
  <c r="D219" s="1"/>
  <c r="AC222"/>
  <c r="AC225"/>
  <c r="D225" s="1"/>
  <c r="E13" i="24" s="1"/>
  <c r="AC226" i="46"/>
  <c r="D226" s="1"/>
  <c r="E14" i="24" s="1"/>
  <c r="AC231" i="46"/>
  <c r="AC227"/>
  <c r="D227" s="1"/>
  <c r="E15" i="24" s="1"/>
  <c r="AC228" i="46"/>
  <c r="D228" s="1"/>
  <c r="E16" i="24" s="1"/>
  <c r="U111" i="34"/>
  <c r="U112" s="1"/>
  <c r="U109"/>
  <c r="U110" s="1"/>
  <c r="S127"/>
  <c r="R162"/>
  <c r="R160"/>
  <c r="R161"/>
  <c r="S143"/>
  <c r="O94" i="24" s="1"/>
  <c r="S163" i="34"/>
  <c r="S115"/>
  <c r="S116" s="1"/>
  <c r="S119"/>
  <c r="S120" s="1"/>
  <c r="S117"/>
  <c r="S118" s="1"/>
  <c r="AB220" i="47"/>
  <c r="AB218"/>
  <c r="AB219"/>
  <c r="AB221"/>
  <c r="AB222" s="1"/>
  <c r="AB226"/>
  <c r="AB225"/>
  <c r="AB224"/>
  <c r="AB227"/>
  <c r="AB230"/>
  <c r="AC187"/>
  <c r="AA222"/>
  <c r="T142" i="34"/>
  <c r="R151"/>
  <c r="S55"/>
  <c r="S146" s="1"/>
  <c r="AE187" i="46"/>
  <c r="AF189" i="45"/>
  <c r="U104" i="34"/>
  <c r="R122"/>
  <c r="S83"/>
  <c r="S90" i="29"/>
  <c r="S127"/>
  <c r="U38" i="34"/>
  <c r="T17" i="33"/>
  <c r="V17" i="34" s="1"/>
  <c r="T19" i="33"/>
  <c r="V12" i="34"/>
  <c r="T54"/>
  <c r="S20" i="33"/>
  <c r="U19" i="34"/>
  <c r="R21" i="33"/>
  <c r="T21" i="34" s="1"/>
  <c r="T20"/>
  <c r="U8" i="33"/>
  <c r="U9"/>
  <c r="W13" i="34" s="1"/>
  <c r="W63" s="1"/>
  <c r="W66" s="1"/>
  <c r="V12" i="33"/>
  <c r="V14" s="1"/>
  <c r="R29" i="9"/>
  <c r="T63" i="29" s="1"/>
  <c r="T129" i="34" l="1"/>
  <c r="S183"/>
  <c r="S181"/>
  <c r="S182"/>
  <c r="S184"/>
  <c r="S185" s="1"/>
  <c r="T184"/>
  <c r="W307" i="35"/>
  <c r="X282"/>
  <c r="X283"/>
  <c r="X284"/>
  <c r="X285"/>
  <c r="X289"/>
  <c r="Y249"/>
  <c r="X304"/>
  <c r="X305"/>
  <c r="X303"/>
  <c r="X306"/>
  <c r="X310"/>
  <c r="Y251"/>
  <c r="W286"/>
  <c r="AC241" i="47"/>
  <c r="AC240"/>
  <c r="AC239"/>
  <c r="AC242"/>
  <c r="AC247"/>
  <c r="AC245"/>
  <c r="AC246"/>
  <c r="AC248"/>
  <c r="AC251"/>
  <c r="AE189"/>
  <c r="AF189" s="1"/>
  <c r="AC242" i="46"/>
  <c r="AC241"/>
  <c r="AC240"/>
  <c r="AC243"/>
  <c r="AC247"/>
  <c r="AC246"/>
  <c r="AC248"/>
  <c r="AC249"/>
  <c r="AC252"/>
  <c r="AE189"/>
  <c r="AF189" s="1"/>
  <c r="V105" i="34"/>
  <c r="V103"/>
  <c r="V104" s="1"/>
  <c r="R172"/>
  <c r="R193"/>
  <c r="S167"/>
  <c r="S188"/>
  <c r="AC236" i="44"/>
  <c r="AC238"/>
  <c r="AC237"/>
  <c r="AC216"/>
  <c r="D216" s="1"/>
  <c r="F8" i="24" s="1"/>
  <c r="AC215" i="44"/>
  <c r="D215" s="1"/>
  <c r="AC217"/>
  <c r="D217" s="1"/>
  <c r="F9" i="24" s="1"/>
  <c r="AB226" i="45"/>
  <c r="AC224"/>
  <c r="D224" s="1"/>
  <c r="D9" i="24" s="1"/>
  <c r="AC223" i="45"/>
  <c r="D223" s="1"/>
  <c r="D8" i="24" s="1"/>
  <c r="AC222" i="45"/>
  <c r="D222" s="1"/>
  <c r="AC231"/>
  <c r="D231" s="1"/>
  <c r="D16" i="24" s="1"/>
  <c r="AC228" i="45"/>
  <c r="D228" s="1"/>
  <c r="D13" i="24" s="1"/>
  <c r="AC225" i="45"/>
  <c r="AC229"/>
  <c r="D229" s="1"/>
  <c r="D14" i="24" s="1"/>
  <c r="AC230" i="45"/>
  <c r="D230" s="1"/>
  <c r="D15" i="24" s="1"/>
  <c r="AE187" i="45"/>
  <c r="AC223" i="46"/>
  <c r="D222"/>
  <c r="E10" i="24" s="1"/>
  <c r="E7"/>
  <c r="V109" i="34"/>
  <c r="V110" s="1"/>
  <c r="V111"/>
  <c r="V112" s="1"/>
  <c r="T127"/>
  <c r="T163" s="1"/>
  <c r="S162"/>
  <c r="S160"/>
  <c r="S161"/>
  <c r="T143"/>
  <c r="P94" i="24" s="1"/>
  <c r="T115" i="34"/>
  <c r="T116" s="1"/>
  <c r="T119"/>
  <c r="T120" s="1"/>
  <c r="T117"/>
  <c r="T118" s="1"/>
  <c r="AC220" i="47"/>
  <c r="D220" s="1"/>
  <c r="B9" i="24" s="1"/>
  <c r="AC218" i="47"/>
  <c r="D218" s="1"/>
  <c r="AC219"/>
  <c r="D219" s="1"/>
  <c r="B8" i="24" s="1"/>
  <c r="AC221" i="47"/>
  <c r="AC226"/>
  <c r="D226" s="1"/>
  <c r="B15" i="24" s="1"/>
  <c r="AC225" i="47"/>
  <c r="D225" s="1"/>
  <c r="B14" i="24" s="1"/>
  <c r="AC224" i="47"/>
  <c r="D224" s="1"/>
  <c r="B13" i="24" s="1"/>
  <c r="AC227" i="47"/>
  <c r="D227" s="1"/>
  <c r="B16" i="24" s="1"/>
  <c r="AC230" i="47"/>
  <c r="AE187"/>
  <c r="S151" i="34"/>
  <c r="U142"/>
  <c r="T55"/>
  <c r="T146" s="1"/>
  <c r="AG189" i="47"/>
  <c r="AF187" i="46"/>
  <c r="AG189"/>
  <c r="AG189" i="45"/>
  <c r="V106" i="34"/>
  <c r="S122"/>
  <c r="T83"/>
  <c r="T90" i="29"/>
  <c r="T127"/>
  <c r="U17" i="33"/>
  <c r="W17" i="34" s="1"/>
  <c r="W12"/>
  <c r="U19" i="33"/>
  <c r="T20"/>
  <c r="V19" i="34"/>
  <c r="U54"/>
  <c r="V38"/>
  <c r="S21" i="33"/>
  <c r="U21" i="34" s="1"/>
  <c r="U20"/>
  <c r="V8" i="33"/>
  <c r="V9"/>
  <c r="X13" i="34" s="1"/>
  <c r="X63" s="1"/>
  <c r="X66" s="1"/>
  <c r="W12" i="33"/>
  <c r="W14" s="1"/>
  <c r="S29" i="9"/>
  <c r="U63" i="29" s="1"/>
  <c r="U129" i="34" l="1"/>
  <c r="T181"/>
  <c r="T182"/>
  <c r="T183"/>
  <c r="T185"/>
  <c r="X307" i="35"/>
  <c r="X286"/>
  <c r="Y305"/>
  <c r="Y304"/>
  <c r="Y303"/>
  <c r="Y310"/>
  <c r="Y306"/>
  <c r="Y307" s="1"/>
  <c r="Z251"/>
  <c r="Y284"/>
  <c r="Y283"/>
  <c r="Y282"/>
  <c r="Y289"/>
  <c r="Y285"/>
  <c r="Z249"/>
  <c r="T167" i="34"/>
  <c r="T188"/>
  <c r="W103"/>
  <c r="W105"/>
  <c r="S172"/>
  <c r="S193"/>
  <c r="F7" i="24"/>
  <c r="AF187" i="45"/>
  <c r="AC226"/>
  <c r="D225"/>
  <c r="D10" i="24" s="1"/>
  <c r="D7"/>
  <c r="D218" i="46"/>
  <c r="E6" i="24" s="1"/>
  <c r="W111" i="34"/>
  <c r="W112" s="1"/>
  <c r="W109"/>
  <c r="W110" s="1"/>
  <c r="U127"/>
  <c r="T162"/>
  <c r="T161"/>
  <c r="T160"/>
  <c r="U143"/>
  <c r="Q94" i="24" s="1"/>
  <c r="U163" i="34"/>
  <c r="U119"/>
  <c r="U120" s="1"/>
  <c r="U117"/>
  <c r="U118" s="1"/>
  <c r="U115"/>
  <c r="U116" s="1"/>
  <c r="AF187" i="47"/>
  <c r="AC222"/>
  <c r="D221"/>
  <c r="B10" i="24" s="1"/>
  <c r="B7"/>
  <c r="D230" i="47"/>
  <c r="B19" i="24" s="1"/>
  <c r="T151" i="34"/>
  <c r="V142"/>
  <c r="U55"/>
  <c r="U146" s="1"/>
  <c r="AH189" i="47"/>
  <c r="AH189" i="46"/>
  <c r="AG187"/>
  <c r="AH189" i="45"/>
  <c r="W104" i="34"/>
  <c r="W106"/>
  <c r="T122"/>
  <c r="U83"/>
  <c r="U90" i="29"/>
  <c r="U127"/>
  <c r="V54" i="34"/>
  <c r="W9" i="33"/>
  <c r="Y13" i="34" s="1"/>
  <c r="Y63" s="1"/>
  <c r="Y66" s="1"/>
  <c r="W8" i="33"/>
  <c r="V19"/>
  <c r="X12" i="34"/>
  <c r="V17" i="33"/>
  <c r="X17" i="34" s="1"/>
  <c r="W38"/>
  <c r="U20" i="33"/>
  <c r="W19" i="34"/>
  <c r="T21" i="33"/>
  <c r="V21" i="34" s="1"/>
  <c r="V20"/>
  <c r="X12" i="33"/>
  <c r="X14" s="1"/>
  <c r="T29" i="9"/>
  <c r="V63" i="29" s="1"/>
  <c r="V129" i="34" l="1"/>
  <c r="U181"/>
  <c r="U182"/>
  <c r="U183"/>
  <c r="V184"/>
  <c r="U184"/>
  <c r="Z283" i="35"/>
  <c r="Z282"/>
  <c r="Z284"/>
  <c r="Z289"/>
  <c r="Z285"/>
  <c r="Z286" s="1"/>
  <c r="AA249"/>
  <c r="Z303"/>
  <c r="Z304"/>
  <c r="Z305"/>
  <c r="Z310"/>
  <c r="Z306"/>
  <c r="AA251"/>
  <c r="Y286"/>
  <c r="X103" i="34"/>
  <c r="X104" s="1"/>
  <c r="X105"/>
  <c r="U167"/>
  <c r="U188"/>
  <c r="T172"/>
  <c r="T193"/>
  <c r="AG187" i="45"/>
  <c r="D221"/>
  <c r="D6" i="24" s="1"/>
  <c r="X109" i="34"/>
  <c r="X110" s="1"/>
  <c r="X111"/>
  <c r="X112" s="1"/>
  <c r="V127"/>
  <c r="V163" s="1"/>
  <c r="U162"/>
  <c r="U161"/>
  <c r="U160"/>
  <c r="W142"/>
  <c r="V143"/>
  <c r="R94" i="24" s="1"/>
  <c r="V119" i="34"/>
  <c r="V120" s="1"/>
  <c r="V117"/>
  <c r="V118" s="1"/>
  <c r="V115"/>
  <c r="V116" s="1"/>
  <c r="AG187" i="47"/>
  <c r="D217"/>
  <c r="B6" i="24" s="1"/>
  <c r="U151" i="34"/>
  <c r="V55"/>
  <c r="V146" s="1"/>
  <c r="AI189" i="47"/>
  <c r="AH187" i="46"/>
  <c r="AI189"/>
  <c r="AI189" i="45"/>
  <c r="X106" i="34"/>
  <c r="U122"/>
  <c r="V83"/>
  <c r="V90" i="29"/>
  <c r="V127"/>
  <c r="W20" i="34"/>
  <c r="U21" i="33"/>
  <c r="W21" i="34" s="1"/>
  <c r="X19"/>
  <c r="V20" i="33"/>
  <c r="W54" i="34"/>
  <c r="X38"/>
  <c r="X8" i="33"/>
  <c r="X9"/>
  <c r="Z13" i="34" s="1"/>
  <c r="Z63" s="1"/>
  <c r="Z66" s="1"/>
  <c r="W17" i="33"/>
  <c r="Y17" i="34" s="1"/>
  <c r="Y12"/>
  <c r="W19" i="33"/>
  <c r="Y12"/>
  <c r="Y14" s="1"/>
  <c r="U29" i="9"/>
  <c r="W63" i="29" s="1"/>
  <c r="W129" i="34" l="1"/>
  <c r="V181"/>
  <c r="V182"/>
  <c r="V183"/>
  <c r="V185" s="1"/>
  <c r="W184"/>
  <c r="U185"/>
  <c r="Z307" i="35"/>
  <c r="AA283"/>
  <c r="AA284"/>
  <c r="AA282"/>
  <c r="AA285"/>
  <c r="AA286" s="1"/>
  <c r="AA289"/>
  <c r="AB249"/>
  <c r="AA305"/>
  <c r="AA303"/>
  <c r="AA304"/>
  <c r="AA310"/>
  <c r="AA306"/>
  <c r="AA307" s="1"/>
  <c r="AB251"/>
  <c r="U172" i="34"/>
  <c r="U193"/>
  <c r="V167"/>
  <c r="V188"/>
  <c r="Y103"/>
  <c r="Y104" s="1"/>
  <c r="Y105"/>
  <c r="AH187" i="45"/>
  <c r="W163" i="34"/>
  <c r="Y111"/>
  <c r="Y112" s="1"/>
  <c r="Y109"/>
  <c r="Y110" s="1"/>
  <c r="W127"/>
  <c r="V161"/>
  <c r="V160"/>
  <c r="V162"/>
  <c r="W143"/>
  <c r="S94" i="24" s="1"/>
  <c r="W115" i="34"/>
  <c r="W116" s="1"/>
  <c r="W119"/>
  <c r="W120" s="1"/>
  <c r="W117"/>
  <c r="W118" s="1"/>
  <c r="AH187" i="47"/>
  <c r="X142" i="34"/>
  <c r="V151"/>
  <c r="W55"/>
  <c r="W146" s="1"/>
  <c r="AJ189" i="47"/>
  <c r="AI187" i="46"/>
  <c r="AJ189"/>
  <c r="AJ189" i="45"/>
  <c r="Y106" i="34"/>
  <c r="V122"/>
  <c r="W83"/>
  <c r="W90" i="29"/>
  <c r="W127"/>
  <c r="W20" i="33"/>
  <c r="Y19" i="34"/>
  <c r="Y38"/>
  <c r="X54"/>
  <c r="V21" i="33"/>
  <c r="X21" i="34" s="1"/>
  <c r="X20"/>
  <c r="X17" i="33"/>
  <c r="Z17" i="34" s="1"/>
  <c r="X19" i="33"/>
  <c r="Z12" i="34"/>
  <c r="Y8" i="33"/>
  <c r="Y9"/>
  <c r="AA13" i="34" s="1"/>
  <c r="AA63" s="1"/>
  <c r="AA66" s="1"/>
  <c r="Z12" i="33"/>
  <c r="V29" i="9"/>
  <c r="X63" i="29" s="1"/>
  <c r="X129" i="34" l="1"/>
  <c r="W181"/>
  <c r="W182"/>
  <c r="W183"/>
  <c r="X184"/>
  <c r="AB304" i="35"/>
  <c r="AB305"/>
  <c r="AB303"/>
  <c r="AB306"/>
  <c r="AB310"/>
  <c r="AC251"/>
  <c r="AB282"/>
  <c r="AB284"/>
  <c r="AB283"/>
  <c r="AB285"/>
  <c r="AB289"/>
  <c r="AC249"/>
  <c r="V172" i="34"/>
  <c r="V193"/>
  <c r="Z103"/>
  <c r="Z105"/>
  <c r="Z106" s="1"/>
  <c r="W167"/>
  <c r="W188"/>
  <c r="AI187" i="45"/>
  <c r="Z109" i="34"/>
  <c r="Z110" s="1"/>
  <c r="Z111"/>
  <c r="Z112" s="1"/>
  <c r="X127"/>
  <c r="X163" s="1"/>
  <c r="W160"/>
  <c r="W161"/>
  <c r="W162"/>
  <c r="X143"/>
  <c r="T94" i="24" s="1"/>
  <c r="Y142" i="34"/>
  <c r="X115"/>
  <c r="X116" s="1"/>
  <c r="X119"/>
  <c r="X120" s="1"/>
  <c r="X117"/>
  <c r="X118" s="1"/>
  <c r="AI187" i="47"/>
  <c r="W151" i="34"/>
  <c r="X55"/>
  <c r="X146" s="1"/>
  <c r="AK189" i="47"/>
  <c r="AJ187" i="46"/>
  <c r="AK189"/>
  <c r="AK189" i="45"/>
  <c r="W122" i="34"/>
  <c r="Z104"/>
  <c r="X83"/>
  <c r="X90" i="29"/>
  <c r="X127"/>
  <c r="W21" i="33"/>
  <c r="Y21" i="34" s="1"/>
  <c r="Y20"/>
  <c r="X20" i="33"/>
  <c r="Z19" i="34"/>
  <c r="Z38"/>
  <c r="Y17" i="33"/>
  <c r="AA17" i="34" s="1"/>
  <c r="Y19" i="33"/>
  <c r="AA12" i="34"/>
  <c r="Y54"/>
  <c r="AA12" i="33"/>
  <c r="AA14" s="1"/>
  <c r="Z14"/>
  <c r="W29" i="9"/>
  <c r="Y63" i="29" s="1"/>
  <c r="W185" i="34" l="1"/>
  <c r="Y129"/>
  <c r="X181"/>
  <c r="X182"/>
  <c r="X183"/>
  <c r="Y184"/>
  <c r="X185"/>
  <c r="AB307" i="35"/>
  <c r="AC284"/>
  <c r="AC282"/>
  <c r="D282" s="1"/>
  <c r="G7" i="24" s="1"/>
  <c r="AC283" i="35"/>
  <c r="D283" s="1"/>
  <c r="G8" i="24" s="1"/>
  <c r="AC285" i="35"/>
  <c r="AC289"/>
  <c r="D289" s="1"/>
  <c r="G14" i="24" s="1"/>
  <c r="AE249" i="35"/>
  <c r="AF249" s="1"/>
  <c r="AG249" s="1"/>
  <c r="AH249" s="1"/>
  <c r="AI249" s="1"/>
  <c r="AC304"/>
  <c r="D304" s="1"/>
  <c r="G29" i="24" s="1"/>
  <c r="AC303" i="35"/>
  <c r="D303" s="1"/>
  <c r="G28" i="24" s="1"/>
  <c r="AC305" i="35"/>
  <c r="AC306"/>
  <c r="AC310"/>
  <c r="D310" s="1"/>
  <c r="G35" i="24" s="1"/>
  <c r="AE251" i="35"/>
  <c r="AF251" s="1"/>
  <c r="AG251" s="1"/>
  <c r="AH251" s="1"/>
  <c r="AI251" s="1"/>
  <c r="AJ251" s="1"/>
  <c r="AB286"/>
  <c r="AA105" i="34"/>
  <c r="AA103"/>
  <c r="AA104" s="1"/>
  <c r="W172"/>
  <c r="W193"/>
  <c r="X167"/>
  <c r="X188"/>
  <c r="AJ187" i="45"/>
  <c r="AA109" i="34"/>
  <c r="AA110" s="1"/>
  <c r="AA111"/>
  <c r="AA112" s="1"/>
  <c r="Y127"/>
  <c r="Y163" s="1"/>
  <c r="X161"/>
  <c r="X162"/>
  <c r="X160"/>
  <c r="Y143"/>
  <c r="U94" i="24" s="1"/>
  <c r="Y119" i="34"/>
  <c r="Y120" s="1"/>
  <c r="Y117"/>
  <c r="Y118" s="1"/>
  <c r="Y115"/>
  <c r="Y116" s="1"/>
  <c r="AJ187" i="47"/>
  <c r="Z142" i="34"/>
  <c r="X151"/>
  <c r="Y55"/>
  <c r="Y146" s="1"/>
  <c r="Y188" s="1"/>
  <c r="X122"/>
  <c r="AL189" i="47"/>
  <c r="AL189" i="46"/>
  <c r="AK187"/>
  <c r="AL189" i="45"/>
  <c r="AA106" i="34"/>
  <c r="AK251" i="35"/>
  <c r="AJ249"/>
  <c r="Y83" i="34"/>
  <c r="Y90" i="29"/>
  <c r="Y127"/>
  <c r="X21" i="33"/>
  <c r="Z21" i="34" s="1"/>
  <c r="Z20"/>
  <c r="Z8" i="33"/>
  <c r="Z9"/>
  <c r="AB13" i="34" s="1"/>
  <c r="AB63" s="1"/>
  <c r="AB66" s="1"/>
  <c r="AA9" i="33"/>
  <c r="AC13" i="34" s="1"/>
  <c r="AC63" s="1"/>
  <c r="AA8" i="33"/>
  <c r="AA19" i="34"/>
  <c r="Y20" i="33"/>
  <c r="Z54" i="34"/>
  <c r="AA38"/>
  <c r="X29" i="9"/>
  <c r="Z63" i="29" s="1"/>
  <c r="Z129" i="34" l="1"/>
  <c r="Y181"/>
  <c r="Y185" s="1"/>
  <c r="Y182"/>
  <c r="Y183"/>
  <c r="AC307" i="35"/>
  <c r="D306"/>
  <c r="G31" i="24" s="1"/>
  <c r="AC286" i="35"/>
  <c r="D285"/>
  <c r="G10" i="24" s="1"/>
  <c r="X172" i="34"/>
  <c r="X193"/>
  <c r="AK187" i="45"/>
  <c r="Y167" i="34"/>
  <c r="Z127"/>
  <c r="Y161"/>
  <c r="Y160"/>
  <c r="Y162"/>
  <c r="Z143"/>
  <c r="V94" i="24" s="1"/>
  <c r="Z163" i="34"/>
  <c r="Z115"/>
  <c r="Z116" s="1"/>
  <c r="Z119"/>
  <c r="Z120" s="1"/>
  <c r="Z117"/>
  <c r="Z118" s="1"/>
  <c r="AK187" i="47"/>
  <c r="Y151" i="34"/>
  <c r="AA142"/>
  <c r="Z55"/>
  <c r="Z146" s="1"/>
  <c r="AM189" i="47"/>
  <c r="AL187" i="46"/>
  <c r="AM189"/>
  <c r="AM189" i="45"/>
  <c r="AL251" i="35"/>
  <c r="AK249"/>
  <c r="Y122" i="34"/>
  <c r="Z83"/>
  <c r="Z90" i="29"/>
  <c r="Z127"/>
  <c r="AA17" i="33"/>
  <c r="AC17" i="34" s="1"/>
  <c r="AA19" i="33"/>
  <c r="AC12" i="34"/>
  <c r="Z19" i="33"/>
  <c r="AB12" i="34"/>
  <c r="Z17" i="33"/>
  <c r="AB17" i="34" s="1"/>
  <c r="AA54"/>
  <c r="Y21" i="33"/>
  <c r="AA21" i="34" s="1"/>
  <c r="AA20"/>
  <c r="AC66"/>
  <c r="Y29" i="9"/>
  <c r="AA63" i="29" s="1"/>
  <c r="AA129" i="34" l="1"/>
  <c r="Z182"/>
  <c r="Z183"/>
  <c r="Z181"/>
  <c r="Z184"/>
  <c r="AC103"/>
  <c r="AC105"/>
  <c r="AC106" s="1"/>
  <c r="Z167"/>
  <c r="Z188"/>
  <c r="Y172"/>
  <c r="Y193"/>
  <c r="AB105"/>
  <c r="AB103"/>
  <c r="AL187" i="45"/>
  <c r="AC109" i="34"/>
  <c r="AC111"/>
  <c r="AA127"/>
  <c r="AA163" s="1"/>
  <c r="Z160"/>
  <c r="Z162"/>
  <c r="Z161"/>
  <c r="AB111"/>
  <c r="AB112" s="1"/>
  <c r="AB109"/>
  <c r="AB110" s="1"/>
  <c r="AA143"/>
  <c r="W94" i="24" s="1"/>
  <c r="AA115" i="34"/>
  <c r="AA116" s="1"/>
  <c r="AA119"/>
  <c r="AA120" s="1"/>
  <c r="AA117"/>
  <c r="AA118" s="1"/>
  <c r="AL187" i="47"/>
  <c r="Z151" i="34"/>
  <c r="Z122"/>
  <c r="AA55"/>
  <c r="AA146" s="1"/>
  <c r="AN189" i="47"/>
  <c r="AM187" i="46"/>
  <c r="AN189"/>
  <c r="AN189" i="45"/>
  <c r="AC104" i="34"/>
  <c r="AB106"/>
  <c r="AB104"/>
  <c r="AL249" i="35"/>
  <c r="AM251"/>
  <c r="AA83" i="34"/>
  <c r="AA90" i="29"/>
  <c r="AA127"/>
  <c r="AA20" i="33"/>
  <c r="AC19" i="34"/>
  <c r="AB38"/>
  <c r="AC38"/>
  <c r="Z20" i="33"/>
  <c r="AB19" i="34"/>
  <c r="AA29" i="9"/>
  <c r="AC63" i="29" s="1"/>
  <c r="Z29" i="9"/>
  <c r="AB63" i="29" s="1"/>
  <c r="AB129" i="34" l="1"/>
  <c r="AA181"/>
  <c r="AA182"/>
  <c r="AA183"/>
  <c r="Z185"/>
  <c r="AA184"/>
  <c r="Z172"/>
  <c r="Z193"/>
  <c r="AA167"/>
  <c r="AA188"/>
  <c r="AD63" i="29"/>
  <c r="AM187" i="45"/>
  <c r="AC110" i="34"/>
  <c r="AD110" s="1"/>
  <c r="AD109"/>
  <c r="AC112"/>
  <c r="AD112" s="1"/>
  <c r="AD111"/>
  <c r="AB127"/>
  <c r="AA161"/>
  <c r="AA162"/>
  <c r="AA160"/>
  <c r="AM187" i="47"/>
  <c r="AA151" i="34"/>
  <c r="AB142"/>
  <c r="AB184" s="1"/>
  <c r="AC142"/>
  <c r="AO189" i="47"/>
  <c r="AN187" i="46"/>
  <c r="AO189"/>
  <c r="AO189" i="45"/>
  <c r="AN251" i="35"/>
  <c r="AM249"/>
  <c r="AA122" i="34"/>
  <c r="AC90" i="29"/>
  <c r="AC127"/>
  <c r="AB90"/>
  <c r="AB127"/>
  <c r="AA21" i="33"/>
  <c r="AC21" i="34" s="1"/>
  <c r="AC20"/>
  <c r="AC54"/>
  <c r="Z21" i="33"/>
  <c r="AB21" i="34" s="1"/>
  <c r="AB20"/>
  <c r="AB54"/>
  <c r="I44" i="29"/>
  <c r="I213" s="1"/>
  <c r="H44"/>
  <c r="H213" s="1"/>
  <c r="G44"/>
  <c r="G213" s="1"/>
  <c r="AC42"/>
  <c r="AB42"/>
  <c r="AA42"/>
  <c r="Z42"/>
  <c r="Y42"/>
  <c r="X42"/>
  <c r="W42"/>
  <c r="V42"/>
  <c r="U42"/>
  <c r="T42"/>
  <c r="S42"/>
  <c r="R42"/>
  <c r="Q42"/>
  <c r="P42"/>
  <c r="O42"/>
  <c r="N42"/>
  <c r="M42"/>
  <c r="L42"/>
  <c r="K42"/>
  <c r="J42"/>
  <c r="J217" s="1"/>
  <c r="J312" s="1"/>
  <c r="F44"/>
  <c r="Z32" i="31"/>
  <c r="Y32"/>
  <c r="X32"/>
  <c r="W32"/>
  <c r="V32"/>
  <c r="U32"/>
  <c r="T32"/>
  <c r="S32"/>
  <c r="R32"/>
  <c r="Q32"/>
  <c r="P32"/>
  <c r="O32"/>
  <c r="N32"/>
  <c r="M32"/>
  <c r="L32"/>
  <c r="K32"/>
  <c r="J32"/>
  <c r="I32"/>
  <c r="H32"/>
  <c r="G32"/>
  <c r="F32"/>
  <c r="E32"/>
  <c r="D32"/>
  <c r="Z31"/>
  <c r="Y31"/>
  <c r="X31"/>
  <c r="W31"/>
  <c r="V31"/>
  <c r="U31"/>
  <c r="T31"/>
  <c r="S31"/>
  <c r="R31"/>
  <c r="Q31"/>
  <c r="P31"/>
  <c r="O31"/>
  <c r="N31"/>
  <c r="M31"/>
  <c r="L31"/>
  <c r="K31"/>
  <c r="J31"/>
  <c r="I31"/>
  <c r="H31"/>
  <c r="G31"/>
  <c r="F31"/>
  <c r="F34" s="1"/>
  <c r="E31"/>
  <c r="D31"/>
  <c r="G42" i="29" s="1"/>
  <c r="G217" s="1"/>
  <c r="G312" s="1"/>
  <c r="C32" i="31"/>
  <c r="C31"/>
  <c r="F42" i="29" s="1"/>
  <c r="AC129" i="34" l="1"/>
  <c r="AB181"/>
  <c r="AB182"/>
  <c r="AB185" s="1"/>
  <c r="AB183"/>
  <c r="AA185"/>
  <c r="AA172"/>
  <c r="AA193"/>
  <c r="AN187" i="45"/>
  <c r="AC127" i="34"/>
  <c r="AC163" s="1"/>
  <c r="AB161"/>
  <c r="AB160"/>
  <c r="AB162"/>
  <c r="AB143"/>
  <c r="X94" i="24" s="1"/>
  <c r="AB163" i="34"/>
  <c r="AC143"/>
  <c r="Y94" i="24" s="1"/>
  <c r="AB115" i="34"/>
  <c r="AB116" s="1"/>
  <c r="AB119"/>
  <c r="AB120" s="1"/>
  <c r="AB117"/>
  <c r="AB118" s="1"/>
  <c r="AC119"/>
  <c r="AC120" s="1"/>
  <c r="AC117"/>
  <c r="AC118" s="1"/>
  <c r="AC115"/>
  <c r="AC116" s="1"/>
  <c r="AN187" i="47"/>
  <c r="AB55" i="34"/>
  <c r="AB146" s="1"/>
  <c r="AC55"/>
  <c r="AC146" s="1"/>
  <c r="AP189" i="47"/>
  <c r="AP189" i="46"/>
  <c r="AO187"/>
  <c r="AP189" i="45"/>
  <c r="E34" i="31"/>
  <c r="H42" i="29" s="1"/>
  <c r="I42"/>
  <c r="I217" s="1"/>
  <c r="I312" s="1"/>
  <c r="AD127"/>
  <c r="AN249" i="35"/>
  <c r="AO251"/>
  <c r="AC83" i="34"/>
  <c r="AB83"/>
  <c r="F217" i="29"/>
  <c r="F312" s="1"/>
  <c r="F213"/>
  <c r="X4" i="10"/>
  <c r="Z4"/>
  <c r="X5"/>
  <c r="Z5"/>
  <c r="X6"/>
  <c r="Y6"/>
  <c r="Z6"/>
  <c r="AA6"/>
  <c r="X9"/>
  <c r="Z9"/>
  <c r="X10"/>
  <c r="Z10"/>
  <c r="X11"/>
  <c r="Z11"/>
  <c r="X12"/>
  <c r="Y12"/>
  <c r="Z12"/>
  <c r="AA12"/>
  <c r="X15"/>
  <c r="Y15"/>
  <c r="Z15"/>
  <c r="AA15"/>
  <c r="X18"/>
  <c r="Z18"/>
  <c r="X19"/>
  <c r="Z19"/>
  <c r="X21"/>
  <c r="Z21"/>
  <c r="AC189" i="34" l="1"/>
  <c r="AC181"/>
  <c r="AC182"/>
  <c r="D182" s="1"/>
  <c r="H29" i="24" s="1"/>
  <c r="AC183" i="34"/>
  <c r="D183" s="1"/>
  <c r="H30" i="24" s="1"/>
  <c r="AC184" i="34"/>
  <c r="D184" s="1"/>
  <c r="Z137" i="45"/>
  <c r="Z138" i="47"/>
  <c r="Z137" i="46"/>
  <c r="AC137" i="45"/>
  <c r="AC137" i="46"/>
  <c r="AC138" i="47"/>
  <c r="AA137"/>
  <c r="AA136" i="45"/>
  <c r="AA136" i="46"/>
  <c r="AB136"/>
  <c r="AB136" i="45"/>
  <c r="AB137" i="47"/>
  <c r="AA138"/>
  <c r="AA137" i="45"/>
  <c r="AA137" i="46"/>
  <c r="AC136" i="45"/>
  <c r="AC136" i="46"/>
  <c r="AC137" i="47"/>
  <c r="AB167" i="34"/>
  <c r="AB188"/>
  <c r="AB138" i="47"/>
  <c r="AB137" i="46"/>
  <c r="AB137" i="45"/>
  <c r="Z136"/>
  <c r="Z136" i="46"/>
  <c r="Z137" i="47"/>
  <c r="AC167" i="34"/>
  <c r="AC188"/>
  <c r="H31" i="24"/>
  <c r="AO187" i="45"/>
  <c r="AC160" i="34"/>
  <c r="D160" s="1"/>
  <c r="H7" i="24" s="1"/>
  <c r="AC162" i="34"/>
  <c r="D162" s="1"/>
  <c r="H9" i="24" s="1"/>
  <c r="AC161" i="34"/>
  <c r="D161" s="1"/>
  <c r="H8" i="24" s="1"/>
  <c r="AC168" i="34"/>
  <c r="AO187" i="47"/>
  <c r="AB151" i="34"/>
  <c r="AC151"/>
  <c r="AQ189" i="47"/>
  <c r="AP187" i="46"/>
  <c r="AQ189"/>
  <c r="AQ189" i="45"/>
  <c r="AB122" i="34"/>
  <c r="H217" i="29"/>
  <c r="AD42"/>
  <c r="AO249" i="35"/>
  <c r="AP251"/>
  <c r="AC122" i="34"/>
  <c r="E41" i="31"/>
  <c r="H35" i="29" s="1"/>
  <c r="D41" i="31"/>
  <c r="C41"/>
  <c r="F18" i="34" s="1"/>
  <c r="F35" i="29"/>
  <c r="D249"/>
  <c r="D251"/>
  <c r="D167" i="34" l="1"/>
  <c r="H14" i="24" s="1"/>
  <c r="D181" i="34"/>
  <c r="AC185"/>
  <c r="AC172"/>
  <c r="AC193"/>
  <c r="D188"/>
  <c r="H35" i="24" s="1"/>
  <c r="AB172" i="34"/>
  <c r="AB193"/>
  <c r="AP187" i="45"/>
  <c r="AP187" i="47"/>
  <c r="AD217" i="29"/>
  <c r="H312"/>
  <c r="AR189" i="47"/>
  <c r="AQ187" i="46"/>
  <c r="AR189"/>
  <c r="AR189" i="45"/>
  <c r="G35" i="29"/>
  <c r="G18" i="34"/>
  <c r="AP249" i="35"/>
  <c r="AQ251"/>
  <c r="H251" i="29"/>
  <c r="F251"/>
  <c r="G251"/>
  <c r="H249"/>
  <c r="F249"/>
  <c r="G249"/>
  <c r="D256"/>
  <c r="D254"/>
  <c r="D260" s="1"/>
  <c r="F279"/>
  <c r="F277"/>
  <c r="C74" i="9"/>
  <c r="D169" i="29"/>
  <c r="H28" i="24" l="1"/>
  <c r="D180" i="34"/>
  <c r="H27" i="24" s="1"/>
  <c r="F352" i="29"/>
  <c r="F353"/>
  <c r="F354"/>
  <c r="AQ187" i="45"/>
  <c r="AQ187" i="47"/>
  <c r="F331" i="29"/>
  <c r="F332"/>
  <c r="F333"/>
  <c r="AS189" i="47"/>
  <c r="AR187" i="46"/>
  <c r="AS189"/>
  <c r="AS189" i="45"/>
  <c r="AQ249" i="35"/>
  <c r="AR251"/>
  <c r="G277" i="29"/>
  <c r="F299"/>
  <c r="G279"/>
  <c r="F303"/>
  <c r="D266"/>
  <c r="F260"/>
  <c r="H260"/>
  <c r="G260"/>
  <c r="D262"/>
  <c r="G256"/>
  <c r="F256"/>
  <c r="H256"/>
  <c r="H254"/>
  <c r="F254"/>
  <c r="G254"/>
  <c r="D152"/>
  <c r="D162" s="1"/>
  <c r="D170"/>
  <c r="C73" i="9"/>
  <c r="H155" i="29"/>
  <c r="G155"/>
  <c r="D137"/>
  <c r="D138"/>
  <c r="C60" i="9"/>
  <c r="C59"/>
  <c r="C115" i="31"/>
  <c r="F195" i="29"/>
  <c r="H112"/>
  <c r="G112"/>
  <c r="F112"/>
  <c r="F190"/>
  <c r="H111"/>
  <c r="G111"/>
  <c r="F111"/>
  <c r="H110"/>
  <c r="G110"/>
  <c r="F110"/>
  <c r="H109"/>
  <c r="G109"/>
  <c r="F109"/>
  <c r="H108"/>
  <c r="G108"/>
  <c r="F108"/>
  <c r="D122"/>
  <c r="D75"/>
  <c r="C67" i="9"/>
  <c r="C69" s="1"/>
  <c r="C23"/>
  <c r="H88" i="29"/>
  <c r="G88"/>
  <c r="F185"/>
  <c r="F88"/>
  <c r="D95"/>
  <c r="D94"/>
  <c r="D93"/>
  <c r="H61"/>
  <c r="G61"/>
  <c r="F201"/>
  <c r="F155"/>
  <c r="E14" i="31"/>
  <c r="D14"/>
  <c r="E13"/>
  <c r="D13"/>
  <c r="C14"/>
  <c r="C13"/>
  <c r="F22"/>
  <c r="F19"/>
  <c r="I22" i="29" s="1"/>
  <c r="F18" i="31"/>
  <c r="F17"/>
  <c r="I20" i="29" s="1"/>
  <c r="F23" i="31"/>
  <c r="I26" i="29" s="1"/>
  <c r="G22" i="31"/>
  <c r="F20"/>
  <c r="I23" i="29" s="1"/>
  <c r="E8" i="31"/>
  <c r="D8"/>
  <c r="C8"/>
  <c r="C158" i="9"/>
  <c r="C145"/>
  <c r="D115" i="35" s="1"/>
  <c r="D120" s="1"/>
  <c r="C144" i="9"/>
  <c r="C153"/>
  <c r="C137"/>
  <c r="C136"/>
  <c r="C53"/>
  <c r="C52"/>
  <c r="C30"/>
  <c r="C65"/>
  <c r="C21"/>
  <c r="D114" i="35" s="1"/>
  <c r="C97" i="9"/>
  <c r="D57" i="29"/>
  <c r="F179"/>
  <c r="F61"/>
  <c r="D68"/>
  <c r="D121" s="1"/>
  <c r="G352" l="1"/>
  <c r="G353"/>
  <c r="G354"/>
  <c r="AR187" i="45"/>
  <c r="AR187" i="47"/>
  <c r="G331" i="29"/>
  <c r="G332"/>
  <c r="G333"/>
  <c r="AT189" i="47"/>
  <c r="AT189" i="46"/>
  <c r="AS187"/>
  <c r="AT189" i="45"/>
  <c r="Q125" i="35"/>
  <c r="Q165" s="1"/>
  <c r="Q166" s="1"/>
  <c r="P125"/>
  <c r="P165" s="1"/>
  <c r="P166" s="1"/>
  <c r="O118"/>
  <c r="Y118"/>
  <c r="I118"/>
  <c r="J118"/>
  <c r="Z118"/>
  <c r="L118"/>
  <c r="AB118"/>
  <c r="M125"/>
  <c r="M165" s="1"/>
  <c r="M166" s="1"/>
  <c r="AC125"/>
  <c r="AC165" s="1"/>
  <c r="AC166" s="1"/>
  <c r="L125"/>
  <c r="L165" s="1"/>
  <c r="L166" s="1"/>
  <c r="AB125"/>
  <c r="AB165" s="1"/>
  <c r="AB166" s="1"/>
  <c r="K118"/>
  <c r="AA118"/>
  <c r="AC118"/>
  <c r="M118"/>
  <c r="V118"/>
  <c r="H118"/>
  <c r="X118"/>
  <c r="I125"/>
  <c r="I165" s="1"/>
  <c r="I166" s="1"/>
  <c r="Y125"/>
  <c r="Y165" s="1"/>
  <c r="Y166" s="1"/>
  <c r="H125"/>
  <c r="H165" s="1"/>
  <c r="H166" s="1"/>
  <c r="X125"/>
  <c r="X165" s="1"/>
  <c r="X166" s="1"/>
  <c r="G118"/>
  <c r="W118"/>
  <c r="Q118"/>
  <c r="R118"/>
  <c r="T118"/>
  <c r="U125"/>
  <c r="U165" s="1"/>
  <c r="U166" s="1"/>
  <c r="T125"/>
  <c r="T165" s="1"/>
  <c r="T166" s="1"/>
  <c r="S118"/>
  <c r="U118"/>
  <c r="N118"/>
  <c r="P118"/>
  <c r="F118"/>
  <c r="Z125"/>
  <c r="Z165" s="1"/>
  <c r="Z166" s="1"/>
  <c r="V125"/>
  <c r="V165" s="1"/>
  <c r="V166" s="1"/>
  <c r="W125"/>
  <c r="W165" s="1"/>
  <c r="W166" s="1"/>
  <c r="K125"/>
  <c r="K165" s="1"/>
  <c r="K166" s="1"/>
  <c r="G125"/>
  <c r="G165" s="1"/>
  <c r="G166" s="1"/>
  <c r="O125"/>
  <c r="O165" s="1"/>
  <c r="O166" s="1"/>
  <c r="F125"/>
  <c r="J125"/>
  <c r="J165" s="1"/>
  <c r="J166" s="1"/>
  <c r="R125"/>
  <c r="R165" s="1"/>
  <c r="R166" s="1"/>
  <c r="AA125"/>
  <c r="AA165" s="1"/>
  <c r="AA166" s="1"/>
  <c r="N125"/>
  <c r="N165" s="1"/>
  <c r="N166" s="1"/>
  <c r="S125"/>
  <c r="S165" s="1"/>
  <c r="S166" s="1"/>
  <c r="AB120"/>
  <c r="L120"/>
  <c r="U120"/>
  <c r="Z120"/>
  <c r="J120"/>
  <c r="S120"/>
  <c r="AC120"/>
  <c r="AA120"/>
  <c r="P120"/>
  <c r="Y120"/>
  <c r="I120"/>
  <c r="N120"/>
  <c r="W120"/>
  <c r="G120"/>
  <c r="T120"/>
  <c r="M120"/>
  <c r="K120"/>
  <c r="X120"/>
  <c r="H120"/>
  <c r="Q120"/>
  <c r="V120"/>
  <c r="F120"/>
  <c r="O120"/>
  <c r="R120"/>
  <c r="AR249"/>
  <c r="AS251"/>
  <c r="I111" i="29"/>
  <c r="H277"/>
  <c r="G299"/>
  <c r="I108"/>
  <c r="I195"/>
  <c r="I110"/>
  <c r="H279"/>
  <c r="G303"/>
  <c r="D268"/>
  <c r="H262"/>
  <c r="H313" s="1"/>
  <c r="F262"/>
  <c r="F313" s="1"/>
  <c r="F355" s="1"/>
  <c r="G262"/>
  <c r="G313" s="1"/>
  <c r="G355" s="1"/>
  <c r="D74"/>
  <c r="D116"/>
  <c r="C24" i="9"/>
  <c r="D65" i="29"/>
  <c r="D117" s="1"/>
  <c r="D159"/>
  <c r="D168"/>
  <c r="D171" s="1"/>
  <c r="D161"/>
  <c r="D119"/>
  <c r="D160"/>
  <c r="D120"/>
  <c r="F21" i="31"/>
  <c r="G23"/>
  <c r="J26" i="29" s="1"/>
  <c r="J195" s="1"/>
  <c r="D118"/>
  <c r="J25"/>
  <c r="J112" s="1"/>
  <c r="I25"/>
  <c r="I21"/>
  <c r="F41" i="31"/>
  <c r="I35" i="29" s="1"/>
  <c r="C68" i="9"/>
  <c r="D102" i="29"/>
  <c r="C31" i="9"/>
  <c r="C146"/>
  <c r="G17" i="31"/>
  <c r="J20" i="29" s="1"/>
  <c r="J108" s="1"/>
  <c r="G18" i="31"/>
  <c r="G19"/>
  <c r="J22" i="29" s="1"/>
  <c r="J110" s="1"/>
  <c r="G20" i="31"/>
  <c r="J23" i="29" s="1"/>
  <c r="J111" s="1"/>
  <c r="G21" i="31"/>
  <c r="J24" i="29" s="1"/>
  <c r="J190" s="1"/>
  <c r="C151" i="9"/>
  <c r="C152" s="1"/>
  <c r="C22"/>
  <c r="D84" i="29"/>
  <c r="E7" i="31"/>
  <c r="D7"/>
  <c r="C7"/>
  <c r="B88"/>
  <c r="H355" i="29" l="1"/>
  <c r="G356"/>
  <c r="H352"/>
  <c r="H353"/>
  <c r="H354"/>
  <c r="F356"/>
  <c r="AS187" i="45"/>
  <c r="AS187" i="47"/>
  <c r="H332" i="29"/>
  <c r="H331"/>
  <c r="H333"/>
  <c r="G314"/>
  <c r="C84" i="24" s="1"/>
  <c r="G334" i="29"/>
  <c r="G335" s="1"/>
  <c r="H314"/>
  <c r="D84" i="24" s="1"/>
  <c r="H334" i="29"/>
  <c r="F314"/>
  <c r="B84" i="24" s="1"/>
  <c r="F334" i="29"/>
  <c r="AU189" i="47"/>
  <c r="AT187" i="46"/>
  <c r="AU189"/>
  <c r="AU189" i="45"/>
  <c r="I24" i="29"/>
  <c r="I190" s="1"/>
  <c r="AD120" i="35"/>
  <c r="W119"/>
  <c r="W160"/>
  <c r="W161" s="1"/>
  <c r="W170" s="1"/>
  <c r="W269" s="1"/>
  <c r="U160"/>
  <c r="U161" s="1"/>
  <c r="U170" s="1"/>
  <c r="U269" s="1"/>
  <c r="U119"/>
  <c r="T160"/>
  <c r="T161" s="1"/>
  <c r="T170" s="1"/>
  <c r="T269" s="1"/>
  <c r="T119"/>
  <c r="G160"/>
  <c r="G161" s="1"/>
  <c r="G170" s="1"/>
  <c r="G269" s="1"/>
  <c r="G119"/>
  <c r="M160"/>
  <c r="M161" s="1"/>
  <c r="M170" s="1"/>
  <c r="M269" s="1"/>
  <c r="M119"/>
  <c r="AB119"/>
  <c r="AB160"/>
  <c r="AB161" s="1"/>
  <c r="AB170" s="1"/>
  <c r="AB269" s="1"/>
  <c r="I160"/>
  <c r="I161" s="1"/>
  <c r="I170" s="1"/>
  <c r="I269" s="1"/>
  <c r="I119"/>
  <c r="V160"/>
  <c r="V161" s="1"/>
  <c r="V170" s="1"/>
  <c r="V269" s="1"/>
  <c r="V119"/>
  <c r="K160"/>
  <c r="K161" s="1"/>
  <c r="K170" s="1"/>
  <c r="K269" s="1"/>
  <c r="K119"/>
  <c r="J160"/>
  <c r="J161" s="1"/>
  <c r="J170" s="1"/>
  <c r="J269" s="1"/>
  <c r="J119"/>
  <c r="S126"/>
  <c r="AB126"/>
  <c r="L126"/>
  <c r="U126"/>
  <c r="U127" s="1"/>
  <c r="AD125"/>
  <c r="R126"/>
  <c r="W126"/>
  <c r="G126"/>
  <c r="G127" s="1"/>
  <c r="G267" s="1"/>
  <c r="P126"/>
  <c r="Y126"/>
  <c r="I126"/>
  <c r="V126"/>
  <c r="V127" s="1"/>
  <c r="F126"/>
  <c r="AA126"/>
  <c r="K126"/>
  <c r="T126"/>
  <c r="AC126"/>
  <c r="M126"/>
  <c r="M127" s="1"/>
  <c r="Z126"/>
  <c r="J126"/>
  <c r="J127" s="1"/>
  <c r="J267" s="1"/>
  <c r="O126"/>
  <c r="X126"/>
  <c r="H126"/>
  <c r="Q126"/>
  <c r="F165"/>
  <c r="N126"/>
  <c r="P119"/>
  <c r="P160"/>
  <c r="P161" s="1"/>
  <c r="P170" s="1"/>
  <c r="P269" s="1"/>
  <c r="Q160"/>
  <c r="Q161" s="1"/>
  <c r="Q170" s="1"/>
  <c r="Q269" s="1"/>
  <c r="Q119"/>
  <c r="H119"/>
  <c r="H160"/>
  <c r="H161" s="1"/>
  <c r="H170" s="1"/>
  <c r="H269" s="1"/>
  <c r="AA119"/>
  <c r="AA160"/>
  <c r="AA161" s="1"/>
  <c r="AA170" s="1"/>
  <c r="AA269" s="1"/>
  <c r="Z160"/>
  <c r="Z161" s="1"/>
  <c r="Z170" s="1"/>
  <c r="Z269" s="1"/>
  <c r="Z119"/>
  <c r="O160"/>
  <c r="O161" s="1"/>
  <c r="O170" s="1"/>
  <c r="O269" s="1"/>
  <c r="O119"/>
  <c r="N119"/>
  <c r="N160"/>
  <c r="N161" s="1"/>
  <c r="N170" s="1"/>
  <c r="N269" s="1"/>
  <c r="AD118"/>
  <c r="F160"/>
  <c r="F119"/>
  <c r="S119"/>
  <c r="S160"/>
  <c r="S161" s="1"/>
  <c r="S170" s="1"/>
  <c r="S269" s="1"/>
  <c r="R119"/>
  <c r="R160"/>
  <c r="R161" s="1"/>
  <c r="R170" s="1"/>
  <c r="R269" s="1"/>
  <c r="X160"/>
  <c r="X161" s="1"/>
  <c r="X170" s="1"/>
  <c r="X269" s="1"/>
  <c r="X119"/>
  <c r="AC160"/>
  <c r="AC161" s="1"/>
  <c r="AC170" s="1"/>
  <c r="AC269" s="1"/>
  <c r="AC119"/>
  <c r="L160"/>
  <c r="L161" s="1"/>
  <c r="L170" s="1"/>
  <c r="L269" s="1"/>
  <c r="L119"/>
  <c r="Y119"/>
  <c r="Y160"/>
  <c r="Y161" s="1"/>
  <c r="Y170" s="1"/>
  <c r="Y269" s="1"/>
  <c r="AT251"/>
  <c r="AS249"/>
  <c r="I112" i="29"/>
  <c r="I109"/>
  <c r="I279"/>
  <c r="H303"/>
  <c r="I277"/>
  <c r="H299"/>
  <c r="I105" i="31"/>
  <c r="D101" i="29"/>
  <c r="D135" s="1"/>
  <c r="D77"/>
  <c r="H77" s="1"/>
  <c r="H78" s="1"/>
  <c r="Y123"/>
  <c r="Y191" s="1"/>
  <c r="D125"/>
  <c r="G125" s="1"/>
  <c r="AA123"/>
  <c r="AA191" s="1"/>
  <c r="J123"/>
  <c r="J191" s="1"/>
  <c r="J192" s="1"/>
  <c r="F123"/>
  <c r="G123"/>
  <c r="T123"/>
  <c r="T191" s="1"/>
  <c r="D126"/>
  <c r="I126" s="1"/>
  <c r="S123"/>
  <c r="S191" s="1"/>
  <c r="I123"/>
  <c r="P123"/>
  <c r="P191" s="1"/>
  <c r="K123"/>
  <c r="O123"/>
  <c r="O191" s="1"/>
  <c r="Z123"/>
  <c r="Z191" s="1"/>
  <c r="L123"/>
  <c r="L191" s="1"/>
  <c r="W123"/>
  <c r="W191" s="1"/>
  <c r="M123"/>
  <c r="M191" s="1"/>
  <c r="V123"/>
  <c r="V191" s="1"/>
  <c r="H123"/>
  <c r="U123"/>
  <c r="U191" s="1"/>
  <c r="AB123"/>
  <c r="AB191" s="1"/>
  <c r="N123"/>
  <c r="N191" s="1"/>
  <c r="AC123"/>
  <c r="AC191" s="1"/>
  <c r="R123"/>
  <c r="R191" s="1"/>
  <c r="Q123"/>
  <c r="Q191" s="1"/>
  <c r="X123"/>
  <c r="X191" s="1"/>
  <c r="E40" i="31"/>
  <c r="H34" i="29" s="1"/>
  <c r="E42" i="31"/>
  <c r="E43"/>
  <c r="D40"/>
  <c r="D42"/>
  <c r="D43"/>
  <c r="C42"/>
  <c r="C43"/>
  <c r="C40"/>
  <c r="D158" i="29"/>
  <c r="S163" s="1"/>
  <c r="S202" s="1"/>
  <c r="D128"/>
  <c r="J21"/>
  <c r="J109" s="1"/>
  <c r="G41" i="31"/>
  <c r="J35" i="29" s="1"/>
  <c r="D182"/>
  <c r="H171"/>
  <c r="H172" s="1"/>
  <c r="D204"/>
  <c r="G171"/>
  <c r="G172" s="1"/>
  <c r="F171"/>
  <c r="D136"/>
  <c r="C154" i="9"/>
  <c r="D64" i="29"/>
  <c r="G77"/>
  <c r="G78" s="1"/>
  <c r="F90"/>
  <c r="AD90" s="1"/>
  <c r="J127" i="32"/>
  <c r="J125"/>
  <c r="H127"/>
  <c r="H125"/>
  <c r="I127"/>
  <c r="I125"/>
  <c r="G127"/>
  <c r="G125"/>
  <c r="X46" i="33"/>
  <c r="U46"/>
  <c r="R46"/>
  <c r="O46"/>
  <c r="L46"/>
  <c r="I46"/>
  <c r="F46"/>
  <c r="C46"/>
  <c r="AB45"/>
  <c r="AB44"/>
  <c r="AB43"/>
  <c r="AB42"/>
  <c r="AB41"/>
  <c r="AB40"/>
  <c r="R70" i="31"/>
  <c r="A78" s="1"/>
  <c r="Q70"/>
  <c r="A83" s="1"/>
  <c r="P70"/>
  <c r="O70"/>
  <c r="N70"/>
  <c r="M70"/>
  <c r="L70"/>
  <c r="K70"/>
  <c r="J70"/>
  <c r="I70"/>
  <c r="H70"/>
  <c r="G70"/>
  <c r="A79" s="1"/>
  <c r="F70"/>
  <c r="A81" s="1"/>
  <c r="L72"/>
  <c r="C72"/>
  <c r="C75" s="1"/>
  <c r="D75" s="1"/>
  <c r="E75" s="1"/>
  <c r="F75" s="1"/>
  <c r="G75" s="1"/>
  <c r="H75" s="1"/>
  <c r="I75" s="1"/>
  <c r="J75" s="1"/>
  <c r="K75" s="1"/>
  <c r="U72"/>
  <c r="K72"/>
  <c r="V65"/>
  <c r="U65"/>
  <c r="D240" i="29"/>
  <c r="AC290" i="35" l="1"/>
  <c r="AC311"/>
  <c r="W290"/>
  <c r="W311"/>
  <c r="Y290"/>
  <c r="Y311"/>
  <c r="R290"/>
  <c r="R311"/>
  <c r="Z290"/>
  <c r="Z311"/>
  <c r="J290"/>
  <c r="J311"/>
  <c r="V290"/>
  <c r="V311"/>
  <c r="G290"/>
  <c r="G311"/>
  <c r="U290"/>
  <c r="U311"/>
  <c r="L290"/>
  <c r="L311"/>
  <c r="X290"/>
  <c r="X311"/>
  <c r="N290"/>
  <c r="N311"/>
  <c r="H290"/>
  <c r="H311"/>
  <c r="P290"/>
  <c r="P311"/>
  <c r="J288"/>
  <c r="J309"/>
  <c r="G288"/>
  <c r="G309"/>
  <c r="AB290"/>
  <c r="AB311"/>
  <c r="AA290"/>
  <c r="AA311"/>
  <c r="S290"/>
  <c r="S311"/>
  <c r="O290"/>
  <c r="O311"/>
  <c r="Q290"/>
  <c r="Q311"/>
  <c r="K290"/>
  <c r="K311"/>
  <c r="I290"/>
  <c r="I311"/>
  <c r="M290"/>
  <c r="M311"/>
  <c r="T290"/>
  <c r="T311"/>
  <c r="H356" i="29"/>
  <c r="I352"/>
  <c r="I353"/>
  <c r="I354"/>
  <c r="AT187" i="45"/>
  <c r="M267" i="35"/>
  <c r="M309" s="1"/>
  <c r="V267"/>
  <c r="V309" s="1"/>
  <c r="U267"/>
  <c r="U309" s="1"/>
  <c r="AT187" i="47"/>
  <c r="H335" i="29"/>
  <c r="I331"/>
  <c r="I332"/>
  <c r="I333"/>
  <c r="F335"/>
  <c r="AV189" i="47"/>
  <c r="AU187" i="46"/>
  <c r="AV189"/>
  <c r="AV189" i="45"/>
  <c r="F77" i="29"/>
  <c r="F78" s="1"/>
  <c r="AB127" i="35"/>
  <c r="I181"/>
  <c r="I263" s="1"/>
  <c r="I305" s="1"/>
  <c r="I307" s="1"/>
  <c r="G34" i="29"/>
  <c r="G17" i="34"/>
  <c r="F34" i="29"/>
  <c r="F17" i="34"/>
  <c r="W127" i="35"/>
  <c r="P127"/>
  <c r="N127"/>
  <c r="AA127"/>
  <c r="Y127"/>
  <c r="R127"/>
  <c r="G19" i="34"/>
  <c r="F20"/>
  <c r="AD165" i="35"/>
  <c r="F166"/>
  <c r="AD166" s="1"/>
  <c r="AD126"/>
  <c r="F127"/>
  <c r="F267" s="1"/>
  <c r="O127"/>
  <c r="AC127"/>
  <c r="S127"/>
  <c r="G20" i="34"/>
  <c r="G72" s="1"/>
  <c r="G74" s="1"/>
  <c r="G148" s="1"/>
  <c r="AD160" i="35"/>
  <c r="F161"/>
  <c r="F170" s="1"/>
  <c r="F269" s="1"/>
  <c r="H193"/>
  <c r="H127"/>
  <c r="H267" s="1"/>
  <c r="Z127"/>
  <c r="K127"/>
  <c r="I127"/>
  <c r="I267" s="1"/>
  <c r="L127"/>
  <c r="F19" i="34"/>
  <c r="F84" s="1"/>
  <c r="H241" i="35"/>
  <c r="H242" s="1"/>
  <c r="H174"/>
  <c r="H237"/>
  <c r="H238" s="1"/>
  <c r="H239"/>
  <c r="H240" s="1"/>
  <c r="X127"/>
  <c r="AD119"/>
  <c r="Q127"/>
  <c r="T127"/>
  <c r="AT249"/>
  <c r="AU251"/>
  <c r="F172" i="29"/>
  <c r="J277"/>
  <c r="I299"/>
  <c r="AD123"/>
  <c r="J279"/>
  <c r="I303"/>
  <c r="H23" i="31"/>
  <c r="K26" i="29" s="1"/>
  <c r="H21" i="31"/>
  <c r="K24" i="29" s="1"/>
  <c r="H20" i="31"/>
  <c r="K23" i="29" s="1"/>
  <c r="H19" i="31"/>
  <c r="K22" i="29" s="1"/>
  <c r="H22" i="31"/>
  <c r="K25" i="29" s="1"/>
  <c r="H18" i="31"/>
  <c r="H17"/>
  <c r="K20" i="29" s="1"/>
  <c r="J105" i="31"/>
  <c r="I106"/>
  <c r="H125" i="29"/>
  <c r="F125"/>
  <c r="D104"/>
  <c r="D188" s="1"/>
  <c r="H188" s="1"/>
  <c r="J124"/>
  <c r="I125"/>
  <c r="J125"/>
  <c r="G204"/>
  <c r="H204"/>
  <c r="I124"/>
  <c r="I191"/>
  <c r="I192" s="1"/>
  <c r="G124"/>
  <c r="G191"/>
  <c r="G192" s="1"/>
  <c r="H124"/>
  <c r="H191"/>
  <c r="H192" s="1"/>
  <c r="G182"/>
  <c r="H182"/>
  <c r="K191"/>
  <c r="F124"/>
  <c r="F191"/>
  <c r="J126"/>
  <c r="F126"/>
  <c r="H126"/>
  <c r="G126"/>
  <c r="U163"/>
  <c r="U202" s="1"/>
  <c r="I163"/>
  <c r="I202" s="1"/>
  <c r="V163"/>
  <c r="V202" s="1"/>
  <c r="T163"/>
  <c r="T202" s="1"/>
  <c r="K163"/>
  <c r="K202" s="1"/>
  <c r="AA163"/>
  <c r="AA202" s="1"/>
  <c r="J163"/>
  <c r="J202" s="1"/>
  <c r="Y163"/>
  <c r="Y202" s="1"/>
  <c r="M163"/>
  <c r="M202" s="1"/>
  <c r="P163"/>
  <c r="P202" s="1"/>
  <c r="G163"/>
  <c r="W163"/>
  <c r="W202" s="1"/>
  <c r="H84" i="34"/>
  <c r="H72"/>
  <c r="H74" s="1"/>
  <c r="H148" s="1"/>
  <c r="Z163" i="29"/>
  <c r="Z202" s="1"/>
  <c r="N163"/>
  <c r="N202" s="1"/>
  <c r="AC163"/>
  <c r="AC202" s="1"/>
  <c r="L163"/>
  <c r="L202" s="1"/>
  <c r="AB163"/>
  <c r="AB202" s="1"/>
  <c r="Q163"/>
  <c r="Q202" s="1"/>
  <c r="F163"/>
  <c r="R163"/>
  <c r="R202" s="1"/>
  <c r="H163"/>
  <c r="X163"/>
  <c r="X202" s="1"/>
  <c r="O163"/>
  <c r="O202" s="1"/>
  <c r="AB46" i="33"/>
  <c r="AC42" s="1"/>
  <c r="Z69" i="29"/>
  <c r="Z180" s="1"/>
  <c r="V69"/>
  <c r="V180" s="1"/>
  <c r="R69"/>
  <c r="R180" s="1"/>
  <c r="N69"/>
  <c r="N180" s="1"/>
  <c r="J69"/>
  <c r="J180" s="1"/>
  <c r="AA69"/>
  <c r="AA180" s="1"/>
  <c r="W69"/>
  <c r="W180" s="1"/>
  <c r="S69"/>
  <c r="S180" s="1"/>
  <c r="O69"/>
  <c r="O180" s="1"/>
  <c r="K69"/>
  <c r="K180" s="1"/>
  <c r="AB69"/>
  <c r="AB180" s="1"/>
  <c r="X69"/>
  <c r="X180" s="1"/>
  <c r="T69"/>
  <c r="T180" s="1"/>
  <c r="P69"/>
  <c r="P180" s="1"/>
  <c r="L69"/>
  <c r="L180" s="1"/>
  <c r="H69"/>
  <c r="H180" s="1"/>
  <c r="H181" s="1"/>
  <c r="G69"/>
  <c r="G180" s="1"/>
  <c r="G181" s="1"/>
  <c r="U69"/>
  <c r="U180" s="1"/>
  <c r="Q69"/>
  <c r="Q180" s="1"/>
  <c r="M69"/>
  <c r="M180" s="1"/>
  <c r="AC69"/>
  <c r="AC180" s="1"/>
  <c r="I69"/>
  <c r="I180" s="1"/>
  <c r="Y69"/>
  <c r="Y180" s="1"/>
  <c r="F69"/>
  <c r="F37"/>
  <c r="C44" i="31"/>
  <c r="G36" i="29"/>
  <c r="D35" i="31"/>
  <c r="G37" i="29"/>
  <c r="D44" i="31"/>
  <c r="H36" i="29"/>
  <c r="E35" i="31"/>
  <c r="H37" i="29"/>
  <c r="E44" i="31"/>
  <c r="F36" i="29"/>
  <c r="C35" i="31"/>
  <c r="F182" i="29"/>
  <c r="F204"/>
  <c r="D91"/>
  <c r="L75" i="31"/>
  <c r="M75" s="1"/>
  <c r="N75" s="1"/>
  <c r="O75" s="1"/>
  <c r="P75" s="1"/>
  <c r="Q75" s="1"/>
  <c r="R75" s="1"/>
  <c r="S75" s="1"/>
  <c r="T75" s="1"/>
  <c r="U75" s="1"/>
  <c r="V75" s="1"/>
  <c r="W75" s="1"/>
  <c r="X75" s="1"/>
  <c r="Y75" s="1"/>
  <c r="Z75" s="1"/>
  <c r="Z79" s="1"/>
  <c r="C88"/>
  <c r="C90" s="1"/>
  <c r="A80"/>
  <c r="A82"/>
  <c r="H82" s="1"/>
  <c r="F83"/>
  <c r="C83"/>
  <c r="J83"/>
  <c r="C79"/>
  <c r="J79"/>
  <c r="F79"/>
  <c r="L81"/>
  <c r="H81"/>
  <c r="D81"/>
  <c r="F78"/>
  <c r="Q78"/>
  <c r="I78"/>
  <c r="C78"/>
  <c r="E78"/>
  <c r="C81"/>
  <c r="D78"/>
  <c r="H78"/>
  <c r="E79"/>
  <c r="I79"/>
  <c r="M79"/>
  <c r="G81"/>
  <c r="K81"/>
  <c r="S81"/>
  <c r="E83"/>
  <c r="I83"/>
  <c r="M83"/>
  <c r="G78"/>
  <c r="K78"/>
  <c r="D79"/>
  <c r="H79"/>
  <c r="F81"/>
  <c r="J81"/>
  <c r="D83"/>
  <c r="H83"/>
  <c r="J78"/>
  <c r="N78"/>
  <c r="G79"/>
  <c r="K79"/>
  <c r="O79"/>
  <c r="E81"/>
  <c r="I81"/>
  <c r="Q81"/>
  <c r="G83"/>
  <c r="K83"/>
  <c r="O83"/>
  <c r="AC41" i="33"/>
  <c r="W15" i="10"/>
  <c r="V15"/>
  <c r="U15"/>
  <c r="T15"/>
  <c r="S15"/>
  <c r="R15"/>
  <c r="Q15"/>
  <c r="P15"/>
  <c r="O15"/>
  <c r="N15"/>
  <c r="M15"/>
  <c r="L15"/>
  <c r="K15"/>
  <c r="J15"/>
  <c r="I15"/>
  <c r="H15"/>
  <c r="G15"/>
  <c r="F15"/>
  <c r="E15"/>
  <c r="D15"/>
  <c r="W12"/>
  <c r="V12"/>
  <c r="U12"/>
  <c r="T12"/>
  <c r="S12"/>
  <c r="R12"/>
  <c r="Q12"/>
  <c r="P12"/>
  <c r="O12"/>
  <c r="N12"/>
  <c r="M12"/>
  <c r="L12"/>
  <c r="K12"/>
  <c r="J12"/>
  <c r="I12"/>
  <c r="H12"/>
  <c r="G12"/>
  <c r="F12"/>
  <c r="E12"/>
  <c r="D12"/>
  <c r="W6"/>
  <c r="V6"/>
  <c r="U6"/>
  <c r="T6"/>
  <c r="S6"/>
  <c r="R6"/>
  <c r="Q6"/>
  <c r="P6"/>
  <c r="O6"/>
  <c r="N6"/>
  <c r="M6"/>
  <c r="L6"/>
  <c r="K6"/>
  <c r="J6"/>
  <c r="I6"/>
  <c r="H6"/>
  <c r="G6"/>
  <c r="F6"/>
  <c r="E6"/>
  <c r="D6"/>
  <c r="J136" i="46" l="1"/>
  <c r="J137" i="47"/>
  <c r="J136" i="45"/>
  <c r="V137" i="47"/>
  <c r="V136" i="45"/>
  <c r="V136" i="46"/>
  <c r="I136"/>
  <c r="I137" i="47"/>
  <c r="I136" i="45"/>
  <c r="M136"/>
  <c r="M136" i="46"/>
  <c r="M137" i="47"/>
  <c r="Q136" i="46"/>
  <c r="Q136" i="45"/>
  <c r="Q137" i="47"/>
  <c r="U136" i="45"/>
  <c r="U136" i="46"/>
  <c r="U137" i="47"/>
  <c r="Y136" i="45"/>
  <c r="Y136" i="46"/>
  <c r="Y137" i="47"/>
  <c r="Y137" i="46"/>
  <c r="Y138" i="47"/>
  <c r="Y137" i="45"/>
  <c r="F290" i="35"/>
  <c r="D290" s="1"/>
  <c r="G15" i="24" s="1"/>
  <c r="F311" i="35"/>
  <c r="D311" s="1"/>
  <c r="G36" i="24" s="1"/>
  <c r="F137" i="47"/>
  <c r="F136" i="46"/>
  <c r="F136" i="45"/>
  <c r="F130" i="44"/>
  <c r="R136" i="45"/>
  <c r="R136" i="46"/>
  <c r="R137" i="47"/>
  <c r="L136" i="46"/>
  <c r="L137" i="47"/>
  <c r="L136" i="45"/>
  <c r="P136"/>
  <c r="P137" i="47"/>
  <c r="P136" i="46"/>
  <c r="T136" i="45"/>
  <c r="T137" i="47"/>
  <c r="T136" i="46"/>
  <c r="X136" i="45"/>
  <c r="X136" i="46"/>
  <c r="X137" i="47"/>
  <c r="I288" i="35"/>
  <c r="I309"/>
  <c r="N137" i="47"/>
  <c r="N136" i="46"/>
  <c r="N136" i="45"/>
  <c r="H169" i="34"/>
  <c r="H190"/>
  <c r="H136" i="46"/>
  <c r="H137" i="47"/>
  <c r="H136" i="45"/>
  <c r="G136" i="46"/>
  <c r="G136" i="45"/>
  <c r="G137" i="47"/>
  <c r="K137"/>
  <c r="K136" i="45"/>
  <c r="K136" i="46"/>
  <c r="O136" i="45"/>
  <c r="O137" i="47"/>
  <c r="O136" i="46"/>
  <c r="S136"/>
  <c r="S136" i="45"/>
  <c r="S137" i="47"/>
  <c r="W136" i="45"/>
  <c r="W136" i="46"/>
  <c r="W137" i="47"/>
  <c r="O137" i="45"/>
  <c r="O138" i="47"/>
  <c r="O137" i="46"/>
  <c r="H273" i="35"/>
  <c r="H315" s="1"/>
  <c r="H244"/>
  <c r="H288"/>
  <c r="H309"/>
  <c r="G169" i="34"/>
  <c r="G190"/>
  <c r="F288" i="35"/>
  <c r="F309"/>
  <c r="J353" i="29"/>
  <c r="J352"/>
  <c r="J354"/>
  <c r="AU187" i="45"/>
  <c r="G117" i="34"/>
  <c r="G118" s="1"/>
  <c r="G115"/>
  <c r="G116" s="1"/>
  <c r="G119"/>
  <c r="G120" s="1"/>
  <c r="F117"/>
  <c r="F115"/>
  <c r="F119"/>
  <c r="AA267" i="35"/>
  <c r="AA309" s="1"/>
  <c r="S267"/>
  <c r="S309" s="1"/>
  <c r="N267"/>
  <c r="N309" s="1"/>
  <c r="AB267"/>
  <c r="AB309" s="1"/>
  <c r="M288"/>
  <c r="T267"/>
  <c r="T309" s="1"/>
  <c r="Z267"/>
  <c r="Z309" s="1"/>
  <c r="O267"/>
  <c r="O309" s="1"/>
  <c r="Y267"/>
  <c r="Y309" s="1"/>
  <c r="W267"/>
  <c r="W309" s="1"/>
  <c r="Q267"/>
  <c r="Q309" s="1"/>
  <c r="L267"/>
  <c r="L309" s="1"/>
  <c r="U288"/>
  <c r="X267"/>
  <c r="X309" s="1"/>
  <c r="K267"/>
  <c r="K309" s="1"/>
  <c r="AC267"/>
  <c r="AC309" s="1"/>
  <c r="R267"/>
  <c r="R309" s="1"/>
  <c r="P267"/>
  <c r="P309" s="1"/>
  <c r="V288"/>
  <c r="AU187" i="47"/>
  <c r="I284" i="35"/>
  <c r="I286" s="1"/>
  <c r="I265"/>
  <c r="E92" i="24" s="1"/>
  <c r="F130" i="45"/>
  <c r="F124" i="44"/>
  <c r="F130" i="46"/>
  <c r="F131" i="47"/>
  <c r="H131"/>
  <c r="H136" s="1"/>
  <c r="H130" i="45"/>
  <c r="H135" s="1"/>
  <c r="H124" i="44"/>
  <c r="H129" s="1"/>
  <c r="H130" i="46"/>
  <c r="H135" s="1"/>
  <c r="G130" i="45"/>
  <c r="G135" s="1"/>
  <c r="G124" i="44"/>
  <c r="G129" s="1"/>
  <c r="G130" i="46"/>
  <c r="G135" s="1"/>
  <c r="G131" i="47"/>
  <c r="G136" s="1"/>
  <c r="J332" i="29"/>
  <c r="J331"/>
  <c r="J333"/>
  <c r="AW189" i="47"/>
  <c r="AV187" i="46"/>
  <c r="AW189"/>
  <c r="AW189" i="45"/>
  <c r="F89" i="34"/>
  <c r="F83"/>
  <c r="H89"/>
  <c r="I177" i="35"/>
  <c r="I33"/>
  <c r="F72" i="34"/>
  <c r="F74" s="1"/>
  <c r="F148" s="1"/>
  <c r="F192" i="35"/>
  <c r="F197" s="1"/>
  <c r="H192"/>
  <c r="H197" s="1"/>
  <c r="G192"/>
  <c r="G197" s="1"/>
  <c r="G84" i="34"/>
  <c r="F43" i="29"/>
  <c r="G43"/>
  <c r="H104"/>
  <c r="H105" s="1"/>
  <c r="G83" i="34"/>
  <c r="G193" i="35"/>
  <c r="G198" s="1"/>
  <c r="H43" i="29"/>
  <c r="AD161" i="35"/>
  <c r="F193"/>
  <c r="G237"/>
  <c r="G238" s="1"/>
  <c r="G239"/>
  <c r="G240" s="1"/>
  <c r="G241"/>
  <c r="G242" s="1"/>
  <c r="G174"/>
  <c r="AD127"/>
  <c r="F174"/>
  <c r="F237"/>
  <c r="F239"/>
  <c r="F241"/>
  <c r="H198"/>
  <c r="AV251"/>
  <c r="AU249"/>
  <c r="K110" i="29"/>
  <c r="K277"/>
  <c r="J299"/>
  <c r="K112"/>
  <c r="K195"/>
  <c r="F192"/>
  <c r="AD191"/>
  <c r="K190"/>
  <c r="AD163"/>
  <c r="F180"/>
  <c r="AD69"/>
  <c r="K108"/>
  <c r="K111"/>
  <c r="K279"/>
  <c r="J303"/>
  <c r="K192"/>
  <c r="I111" i="31"/>
  <c r="I20" s="1"/>
  <c r="L23" i="29" s="1"/>
  <c r="L111" s="1"/>
  <c r="L126" s="1"/>
  <c r="I112" i="31"/>
  <c r="I21" s="1"/>
  <c r="L24" i="29" s="1"/>
  <c r="L190" s="1"/>
  <c r="L192" s="1"/>
  <c r="I109" i="31"/>
  <c r="I18" s="1"/>
  <c r="I108"/>
  <c r="I17" s="1"/>
  <c r="L20" i="29" s="1"/>
  <c r="L108" s="1"/>
  <c r="L124" s="1"/>
  <c r="I113" i="31"/>
  <c r="I22" s="1"/>
  <c r="L25" i="29" s="1"/>
  <c r="L112" s="1"/>
  <c r="I110" i="31"/>
  <c r="I19" s="1"/>
  <c r="L22" i="29" s="1"/>
  <c r="L110" s="1"/>
  <c r="I114" i="31"/>
  <c r="I23" s="1"/>
  <c r="L26" i="29" s="1"/>
  <c r="L195" s="1"/>
  <c r="H41" i="31"/>
  <c r="K35" i="29" s="1"/>
  <c r="K21"/>
  <c r="J106" i="31"/>
  <c r="K105"/>
  <c r="H267" i="29"/>
  <c r="H268" s="1"/>
  <c r="H265"/>
  <c r="H266" s="1"/>
  <c r="H269"/>
  <c r="H270" s="1"/>
  <c r="G267"/>
  <c r="G268" s="1"/>
  <c r="G269"/>
  <c r="G270" s="1"/>
  <c r="G265"/>
  <c r="G266" s="1"/>
  <c r="F265"/>
  <c r="F269"/>
  <c r="F267"/>
  <c r="F188"/>
  <c r="G188"/>
  <c r="G104"/>
  <c r="G105" s="1"/>
  <c r="F104"/>
  <c r="H164"/>
  <c r="H165" s="1"/>
  <c r="H202"/>
  <c r="H203" s="1"/>
  <c r="F164"/>
  <c r="F202"/>
  <c r="G164"/>
  <c r="G165" s="1"/>
  <c r="G202"/>
  <c r="G203" s="1"/>
  <c r="H70"/>
  <c r="H71" s="1"/>
  <c r="G70"/>
  <c r="G71" s="1"/>
  <c r="F70"/>
  <c r="D42" i="34"/>
  <c r="F46" s="1"/>
  <c r="F64" s="1"/>
  <c r="F65" s="1"/>
  <c r="F68" s="1"/>
  <c r="F147" s="1"/>
  <c r="H38" i="29"/>
  <c r="H221" s="1"/>
  <c r="H222" s="1"/>
  <c r="H76" i="34"/>
  <c r="H77" s="1"/>
  <c r="G210" i="29"/>
  <c r="G219" s="1"/>
  <c r="G319" s="1"/>
  <c r="G88" i="34"/>
  <c r="F210" i="29"/>
  <c r="F88" i="34"/>
  <c r="G38" i="29"/>
  <c r="G221" s="1"/>
  <c r="G222" s="1"/>
  <c r="G21" i="34"/>
  <c r="F38" i="29"/>
  <c r="F21" i="34"/>
  <c r="H210" i="29"/>
  <c r="H219" s="1"/>
  <c r="H319" s="1"/>
  <c r="H88" i="34"/>
  <c r="AC45" i="33"/>
  <c r="AC40"/>
  <c r="AC44"/>
  <c r="AC43"/>
  <c r="C93" i="31"/>
  <c r="H29" i="29"/>
  <c r="H149" s="1"/>
  <c r="H153" s="1"/>
  <c r="F29"/>
  <c r="G29"/>
  <c r="G149" s="1"/>
  <c r="G153" s="1"/>
  <c r="F228"/>
  <c r="F229"/>
  <c r="G229"/>
  <c r="G234" s="1"/>
  <c r="G228"/>
  <c r="G233" s="1"/>
  <c r="H229"/>
  <c r="H234" s="1"/>
  <c r="H228"/>
  <c r="H233" s="1"/>
  <c r="D92"/>
  <c r="F96" s="1"/>
  <c r="D129"/>
  <c r="W83" i="31"/>
  <c r="Y81"/>
  <c r="W79"/>
  <c r="W99" s="1"/>
  <c r="W100" s="1"/>
  <c r="V78"/>
  <c r="L83"/>
  <c r="V81"/>
  <c r="L79"/>
  <c r="O78"/>
  <c r="U83"/>
  <c r="W81"/>
  <c r="L78"/>
  <c r="Z83"/>
  <c r="N79"/>
  <c r="N99" s="1"/>
  <c r="N100" s="1"/>
  <c r="P83"/>
  <c r="Z81"/>
  <c r="X79"/>
  <c r="X99" s="1"/>
  <c r="X100" s="1"/>
  <c r="S78"/>
  <c r="Y83"/>
  <c r="O80"/>
  <c r="Y78"/>
  <c r="T81"/>
  <c r="Y79"/>
  <c r="Y99" s="1"/>
  <c r="Y100" s="1"/>
  <c r="J82"/>
  <c r="W82"/>
  <c r="M81"/>
  <c r="S79"/>
  <c r="S99" s="1"/>
  <c r="S100" s="1"/>
  <c r="Z78"/>
  <c r="X83"/>
  <c r="R81"/>
  <c r="P79"/>
  <c r="P99" s="1"/>
  <c r="P100" s="1"/>
  <c r="W78"/>
  <c r="O81"/>
  <c r="U79"/>
  <c r="U99" s="1"/>
  <c r="U100" s="1"/>
  <c r="P78"/>
  <c r="Y82"/>
  <c r="P81"/>
  <c r="R79"/>
  <c r="R99" s="1"/>
  <c r="R100" s="1"/>
  <c r="O82"/>
  <c r="T82"/>
  <c r="O99"/>
  <c r="O100" s="1"/>
  <c r="N82"/>
  <c r="D99"/>
  <c r="D100" s="1"/>
  <c r="G15" i="29" s="1"/>
  <c r="G85" s="1"/>
  <c r="P82" i="31"/>
  <c r="H99"/>
  <c r="H100" s="1"/>
  <c r="E99"/>
  <c r="E100" s="1"/>
  <c r="H15" i="29" s="1"/>
  <c r="H85" s="1"/>
  <c r="G99" i="31"/>
  <c r="G100" s="1"/>
  <c r="L99"/>
  <c r="L100" s="1"/>
  <c r="I99"/>
  <c r="I100" s="1"/>
  <c r="F99"/>
  <c r="F100" s="1"/>
  <c r="C99"/>
  <c r="C100" s="1"/>
  <c r="F15" i="29" s="1"/>
  <c r="K99" i="31"/>
  <c r="K100" s="1"/>
  <c r="S82"/>
  <c r="M99"/>
  <c r="M100" s="1"/>
  <c r="J99"/>
  <c r="J100" s="1"/>
  <c r="Z99"/>
  <c r="Z100" s="1"/>
  <c r="T78"/>
  <c r="U78"/>
  <c r="U82"/>
  <c r="N83"/>
  <c r="Q82"/>
  <c r="S83"/>
  <c r="R82"/>
  <c r="U81"/>
  <c r="R78"/>
  <c r="T83"/>
  <c r="G82"/>
  <c r="N81"/>
  <c r="T79"/>
  <c r="T99" s="1"/>
  <c r="T100" s="1"/>
  <c r="Q83"/>
  <c r="X82"/>
  <c r="D82"/>
  <c r="Q79"/>
  <c r="Q99" s="1"/>
  <c r="Q100" s="1"/>
  <c r="X78"/>
  <c r="M78"/>
  <c r="E82"/>
  <c r="X81"/>
  <c r="V79"/>
  <c r="V99" s="1"/>
  <c r="V100" s="1"/>
  <c r="R83"/>
  <c r="V83"/>
  <c r="H80"/>
  <c r="X80"/>
  <c r="M80"/>
  <c r="F80"/>
  <c r="X93"/>
  <c r="T93"/>
  <c r="P93"/>
  <c r="L93"/>
  <c r="H93"/>
  <c r="D93"/>
  <c r="Y93"/>
  <c r="U93"/>
  <c r="Q93"/>
  <c r="M93"/>
  <c r="I93"/>
  <c r="E93"/>
  <c r="Z93"/>
  <c r="V93"/>
  <c r="R93"/>
  <c r="N93"/>
  <c r="J93"/>
  <c r="F93"/>
  <c r="W93"/>
  <c r="S93"/>
  <c r="O93"/>
  <c r="K93"/>
  <c r="G93"/>
  <c r="L80"/>
  <c r="Q80"/>
  <c r="G80"/>
  <c r="J80"/>
  <c r="P80"/>
  <c r="U80"/>
  <c r="E80"/>
  <c r="C80"/>
  <c r="V80"/>
  <c r="V82"/>
  <c r="F82"/>
  <c r="T80"/>
  <c r="D80"/>
  <c r="K82"/>
  <c r="Y80"/>
  <c r="I80"/>
  <c r="L82"/>
  <c r="Z80"/>
  <c r="A84"/>
  <c r="W84" s="1"/>
  <c r="I82"/>
  <c r="N80"/>
  <c r="M82"/>
  <c r="W80"/>
  <c r="S80"/>
  <c r="R80"/>
  <c r="K80"/>
  <c r="Z82"/>
  <c r="C82"/>
  <c r="H294" i="35" l="1"/>
  <c r="F168" i="34"/>
  <c r="F189"/>
  <c r="G273" i="35"/>
  <c r="G315" s="1"/>
  <c r="G244"/>
  <c r="D309"/>
  <c r="G34" i="24" s="1"/>
  <c r="AD137" i="47"/>
  <c r="AD136" i="45"/>
  <c r="F169" i="34"/>
  <c r="F190"/>
  <c r="AD136" i="46"/>
  <c r="K353" i="29"/>
  <c r="K354"/>
  <c r="K352"/>
  <c r="H340"/>
  <c r="H361"/>
  <c r="G340"/>
  <c r="G361"/>
  <c r="AV187" i="45"/>
  <c r="P288" i="35"/>
  <c r="AC288"/>
  <c r="X288"/>
  <c r="L288"/>
  <c r="Z288"/>
  <c r="AA288"/>
  <c r="R288"/>
  <c r="K288"/>
  <c r="Q288"/>
  <c r="Y288"/>
  <c r="N288"/>
  <c r="W288"/>
  <c r="O288"/>
  <c r="T288"/>
  <c r="AB288"/>
  <c r="S288"/>
  <c r="AV187" i="47"/>
  <c r="H322" i="29"/>
  <c r="H364" s="1"/>
  <c r="F135" i="45"/>
  <c r="F129" i="44"/>
  <c r="K332" i="29"/>
  <c r="K331"/>
  <c r="K333"/>
  <c r="F135" i="46"/>
  <c r="F136" i="47"/>
  <c r="G151" i="34"/>
  <c r="G89"/>
  <c r="H164"/>
  <c r="G322" i="29"/>
  <c r="G364" s="1"/>
  <c r="H343"/>
  <c r="AX189" i="47"/>
  <c r="AX189" i="46"/>
  <c r="AW187"/>
  <c r="AX189" i="45"/>
  <c r="G96" i="31"/>
  <c r="G6"/>
  <c r="G95"/>
  <c r="G26"/>
  <c r="G118"/>
  <c r="G119"/>
  <c r="D250" i="29"/>
  <c r="G102" i="31"/>
  <c r="G14" s="1"/>
  <c r="J17" i="29" s="1"/>
  <c r="J185" s="1"/>
  <c r="J188" s="1"/>
  <c r="G101" i="31"/>
  <c r="G12"/>
  <c r="F242" i="35"/>
  <c r="F116" i="34"/>
  <c r="AD115"/>
  <c r="F118"/>
  <c r="AD118" s="1"/>
  <c r="AD117"/>
  <c r="F238" i="35"/>
  <c r="F120" i="34"/>
  <c r="AD120" s="1"/>
  <c r="AD119"/>
  <c r="AD170" i="35"/>
  <c r="AG22" s="1"/>
  <c r="AG20"/>
  <c r="AG28"/>
  <c r="F240"/>
  <c r="F198"/>
  <c r="AV249"/>
  <c r="AW251"/>
  <c r="F76" i="34"/>
  <c r="F77" s="1"/>
  <c r="G76"/>
  <c r="F85" i="29"/>
  <c r="F266"/>
  <c r="F233"/>
  <c r="F221"/>
  <c r="F219"/>
  <c r="F319" s="1"/>
  <c r="F165"/>
  <c r="F270"/>
  <c r="L279"/>
  <c r="K303"/>
  <c r="K124"/>
  <c r="F234"/>
  <c r="F149"/>
  <c r="F203"/>
  <c r="AD202"/>
  <c r="F268"/>
  <c r="L277"/>
  <c r="K299"/>
  <c r="F71"/>
  <c r="K109"/>
  <c r="K126"/>
  <c r="F181"/>
  <c r="AD180"/>
  <c r="F105"/>
  <c r="J114" i="31"/>
  <c r="J23" s="1"/>
  <c r="M26" i="29" s="1"/>
  <c r="M195" s="1"/>
  <c r="J109" i="31"/>
  <c r="J18" s="1"/>
  <c r="J113"/>
  <c r="J22" s="1"/>
  <c r="M25" i="29" s="1"/>
  <c r="M112" s="1"/>
  <c r="J110" i="31"/>
  <c r="J19" s="1"/>
  <c r="M22" i="29" s="1"/>
  <c r="M110" s="1"/>
  <c r="J111" i="31"/>
  <c r="J20" s="1"/>
  <c r="M23" i="29" s="1"/>
  <c r="M111" s="1"/>
  <c r="M126" s="1"/>
  <c r="J108" i="31"/>
  <c r="J17" s="1"/>
  <c r="M20" i="29" s="1"/>
  <c r="M108" s="1"/>
  <c r="M124" s="1"/>
  <c r="J112" i="31"/>
  <c r="J21" s="1"/>
  <c r="M24" i="29" s="1"/>
  <c r="M190" s="1"/>
  <c r="M192" s="1"/>
  <c r="K106" i="31"/>
  <c r="L105"/>
  <c r="I41"/>
  <c r="L35" i="29" s="1"/>
  <c r="L21"/>
  <c r="L109" s="1"/>
  <c r="L125" s="1"/>
  <c r="I130"/>
  <c r="I196" s="1"/>
  <c r="Q130"/>
  <c r="Q196" s="1"/>
  <c r="AB130"/>
  <c r="AB196" s="1"/>
  <c r="M130"/>
  <c r="M196" s="1"/>
  <c r="Y130"/>
  <c r="Y196" s="1"/>
  <c r="U130"/>
  <c r="U196" s="1"/>
  <c r="R130"/>
  <c r="R196" s="1"/>
  <c r="AA130"/>
  <c r="AA196" s="1"/>
  <c r="K130"/>
  <c r="K196" s="1"/>
  <c r="X130"/>
  <c r="X196" s="1"/>
  <c r="J130"/>
  <c r="J196" s="1"/>
  <c r="V130"/>
  <c r="V196" s="1"/>
  <c r="F130"/>
  <c r="F196" s="1"/>
  <c r="O130"/>
  <c r="O196" s="1"/>
  <c r="AC130"/>
  <c r="AC196" s="1"/>
  <c r="L130"/>
  <c r="L196" s="1"/>
  <c r="Z130"/>
  <c r="Z196" s="1"/>
  <c r="G130"/>
  <c r="G196" s="1"/>
  <c r="G197" s="1"/>
  <c r="N130"/>
  <c r="N196" s="1"/>
  <c r="W130"/>
  <c r="W196" s="1"/>
  <c r="H130"/>
  <c r="H196" s="1"/>
  <c r="T130"/>
  <c r="T196" s="1"/>
  <c r="S130"/>
  <c r="S196" s="1"/>
  <c r="P130"/>
  <c r="P196" s="1"/>
  <c r="F97"/>
  <c r="F186"/>
  <c r="P46" i="34"/>
  <c r="P64" s="1"/>
  <c r="P65" s="1"/>
  <c r="P68" s="1"/>
  <c r="P147" s="1"/>
  <c r="T46"/>
  <c r="T64" s="1"/>
  <c r="T65" s="1"/>
  <c r="T68" s="1"/>
  <c r="T147" s="1"/>
  <c r="H46"/>
  <c r="H64" s="1"/>
  <c r="H65" s="1"/>
  <c r="H68" s="1"/>
  <c r="H147" s="1"/>
  <c r="J46"/>
  <c r="J64" s="1"/>
  <c r="J65" s="1"/>
  <c r="J68" s="1"/>
  <c r="J147" s="1"/>
  <c r="M46"/>
  <c r="M64" s="1"/>
  <c r="M65" s="1"/>
  <c r="M68" s="1"/>
  <c r="M147" s="1"/>
  <c r="G46"/>
  <c r="G64" s="1"/>
  <c r="G65" s="1"/>
  <c r="G68" s="1"/>
  <c r="G147" s="1"/>
  <c r="L46"/>
  <c r="L64" s="1"/>
  <c r="L65" s="1"/>
  <c r="L68" s="1"/>
  <c r="L147" s="1"/>
  <c r="K46"/>
  <c r="K64" s="1"/>
  <c r="K65" s="1"/>
  <c r="K68" s="1"/>
  <c r="K147" s="1"/>
  <c r="W46"/>
  <c r="W64" s="1"/>
  <c r="W65" s="1"/>
  <c r="W68" s="1"/>
  <c r="W147" s="1"/>
  <c r="R46"/>
  <c r="R64" s="1"/>
  <c r="R65" s="1"/>
  <c r="R68" s="1"/>
  <c r="R147" s="1"/>
  <c r="U46"/>
  <c r="U64" s="1"/>
  <c r="U65" s="1"/>
  <c r="U68" s="1"/>
  <c r="U147" s="1"/>
  <c r="I46"/>
  <c r="I64" s="1"/>
  <c r="I65" s="1"/>
  <c r="I68" s="1"/>
  <c r="I147" s="1"/>
  <c r="N46"/>
  <c r="N64" s="1"/>
  <c r="N65" s="1"/>
  <c r="N68" s="1"/>
  <c r="N147" s="1"/>
  <c r="Q46"/>
  <c r="Q64" s="1"/>
  <c r="Q65" s="1"/>
  <c r="Q68" s="1"/>
  <c r="Q147" s="1"/>
  <c r="O46"/>
  <c r="O64" s="1"/>
  <c r="O65" s="1"/>
  <c r="O68" s="1"/>
  <c r="O147" s="1"/>
  <c r="V46"/>
  <c r="V64" s="1"/>
  <c r="V65" s="1"/>
  <c r="V68" s="1"/>
  <c r="V147" s="1"/>
  <c r="S46"/>
  <c r="S64" s="1"/>
  <c r="S65" s="1"/>
  <c r="S68" s="1"/>
  <c r="S147" s="1"/>
  <c r="X46"/>
  <c r="X64" s="1"/>
  <c r="X65" s="1"/>
  <c r="X68" s="1"/>
  <c r="X147" s="1"/>
  <c r="Y46"/>
  <c r="Y64" s="1"/>
  <c r="Y65" s="1"/>
  <c r="Y68" s="1"/>
  <c r="Y147" s="1"/>
  <c r="Z46"/>
  <c r="Z64" s="1"/>
  <c r="Z65" s="1"/>
  <c r="Z68" s="1"/>
  <c r="Z147" s="1"/>
  <c r="AA46"/>
  <c r="AA64" s="1"/>
  <c r="AA65" s="1"/>
  <c r="AA68" s="1"/>
  <c r="AA147" s="1"/>
  <c r="AB46"/>
  <c r="AB64" s="1"/>
  <c r="AB65" s="1"/>
  <c r="AB68" s="1"/>
  <c r="AB147" s="1"/>
  <c r="AC46"/>
  <c r="AC64" s="1"/>
  <c r="AC65" s="1"/>
  <c r="Y96" i="29"/>
  <c r="Y186" s="1"/>
  <c r="P96"/>
  <c r="P186" s="1"/>
  <c r="W96"/>
  <c r="W186" s="1"/>
  <c r="T96"/>
  <c r="T186" s="1"/>
  <c r="M96"/>
  <c r="M186" s="1"/>
  <c r="U96"/>
  <c r="U186" s="1"/>
  <c r="I96"/>
  <c r="I186" s="1"/>
  <c r="L96"/>
  <c r="L186" s="1"/>
  <c r="G96"/>
  <c r="AA96"/>
  <c r="AA186" s="1"/>
  <c r="AB96"/>
  <c r="AB186" s="1"/>
  <c r="AC96"/>
  <c r="AC186" s="1"/>
  <c r="Z96"/>
  <c r="Z186" s="1"/>
  <c r="S96"/>
  <c r="S186" s="1"/>
  <c r="H96"/>
  <c r="X96"/>
  <c r="X186" s="1"/>
  <c r="Q96"/>
  <c r="Q186" s="1"/>
  <c r="K96"/>
  <c r="K186" s="1"/>
  <c r="N96"/>
  <c r="N186" s="1"/>
  <c r="R96"/>
  <c r="R186" s="1"/>
  <c r="V96"/>
  <c r="V186" s="1"/>
  <c r="J96"/>
  <c r="J186" s="1"/>
  <c r="O96"/>
  <c r="O186" s="1"/>
  <c r="R118" i="31"/>
  <c r="R27" s="1"/>
  <c r="U30" i="29" s="1"/>
  <c r="U155" s="1"/>
  <c r="U164" s="1"/>
  <c r="R26" i="31"/>
  <c r="U29" i="29" s="1"/>
  <c r="U149" s="1"/>
  <c r="U153" s="1"/>
  <c r="R119" i="31"/>
  <c r="R28" s="1"/>
  <c r="U31" i="29" s="1"/>
  <c r="U201" s="1"/>
  <c r="X118" i="31"/>
  <c r="X27" s="1"/>
  <c r="AA30" i="29" s="1"/>
  <c r="AA155" s="1"/>
  <c r="AA164" s="1"/>
  <c r="X26" i="31"/>
  <c r="AA29" i="29" s="1"/>
  <c r="AA149" s="1"/>
  <c r="AA153" s="1"/>
  <c r="X119" i="31"/>
  <c r="X28" s="1"/>
  <c r="AA31" i="29" s="1"/>
  <c r="AA201" s="1"/>
  <c r="X12" i="31"/>
  <c r="AA15" i="29" s="1"/>
  <c r="AA85" s="1"/>
  <c r="X102" i="31"/>
  <c r="X14" s="1"/>
  <c r="AA17" i="29" s="1"/>
  <c r="AA185" s="1"/>
  <c r="AA188" s="1"/>
  <c r="X101" i="31"/>
  <c r="X13" s="1"/>
  <c r="AA16" i="29" s="1"/>
  <c r="Z118" i="31"/>
  <c r="Z27" s="1"/>
  <c r="AC30" i="29" s="1"/>
  <c r="AC155" s="1"/>
  <c r="AC164" s="1"/>
  <c r="Z26" i="31"/>
  <c r="AC29" i="29" s="1"/>
  <c r="AC149" s="1"/>
  <c r="AC153" s="1"/>
  <c r="Z119" i="31"/>
  <c r="Z28" s="1"/>
  <c r="AC31" i="29" s="1"/>
  <c r="AC201" s="1"/>
  <c r="V118" i="31"/>
  <c r="V27" s="1"/>
  <c r="Y30" i="29" s="1"/>
  <c r="Y155" s="1"/>
  <c r="Y164" s="1"/>
  <c r="V26" i="31"/>
  <c r="Y29" i="29" s="1"/>
  <c r="Y149" s="1"/>
  <c r="Y153" s="1"/>
  <c r="V119" i="31"/>
  <c r="V28" s="1"/>
  <c r="Y31" i="29" s="1"/>
  <c r="Y201" s="1"/>
  <c r="N118" i="31"/>
  <c r="N27" s="1"/>
  <c r="Q30" i="29" s="1"/>
  <c r="Q155" s="1"/>
  <c r="Q164" s="1"/>
  <c r="N26" i="31"/>
  <c r="Q29" i="29" s="1"/>
  <c r="Q149" s="1"/>
  <c r="Q153" s="1"/>
  <c r="N119" i="31"/>
  <c r="N28" s="1"/>
  <c r="Q31" i="29" s="1"/>
  <c r="Q201" s="1"/>
  <c r="U118" i="31"/>
  <c r="U27" s="1"/>
  <c r="X30" i="29" s="1"/>
  <c r="X155" s="1"/>
  <c r="X164" s="1"/>
  <c r="U26" i="31"/>
  <c r="X29" i="29" s="1"/>
  <c r="X149" s="1"/>
  <c r="X153" s="1"/>
  <c r="U119" i="31"/>
  <c r="U28" s="1"/>
  <c r="X31" i="29" s="1"/>
  <c r="X201" s="1"/>
  <c r="L118" i="31"/>
  <c r="L27" s="1"/>
  <c r="O30" i="29" s="1"/>
  <c r="O155" s="1"/>
  <c r="O164" s="1"/>
  <c r="L26" i="31"/>
  <c r="O29" i="29" s="1"/>
  <c r="O149" s="1"/>
  <c r="O153" s="1"/>
  <c r="L119" i="31"/>
  <c r="L28" s="1"/>
  <c r="O31" i="29" s="1"/>
  <c r="O201" s="1"/>
  <c r="W26" i="31"/>
  <c r="Z29" i="29" s="1"/>
  <c r="Z149" s="1"/>
  <c r="Z153" s="1"/>
  <c r="W119" i="31"/>
  <c r="W28" s="1"/>
  <c r="Z31" i="29" s="1"/>
  <c r="Z201" s="1"/>
  <c r="W118" i="31"/>
  <c r="W27" s="1"/>
  <c r="Z30" i="29" s="1"/>
  <c r="Z155" s="1"/>
  <c r="Z164" s="1"/>
  <c r="Y118" i="31"/>
  <c r="Y27" s="1"/>
  <c r="AB30" i="29" s="1"/>
  <c r="AB155" s="1"/>
  <c r="AB164" s="1"/>
  <c r="Y26" i="31"/>
  <c r="AB29" i="29" s="1"/>
  <c r="AB149" s="1"/>
  <c r="AB153" s="1"/>
  <c r="Y119" i="31"/>
  <c r="Y28" s="1"/>
  <c r="AB31" i="29" s="1"/>
  <c r="AB201" s="1"/>
  <c r="P118" i="31"/>
  <c r="P27" s="1"/>
  <c r="S30" i="29" s="1"/>
  <c r="S155" s="1"/>
  <c r="S164" s="1"/>
  <c r="P26" i="31"/>
  <c r="S29" i="29" s="1"/>
  <c r="S149" s="1"/>
  <c r="S153" s="1"/>
  <c r="P119" i="31"/>
  <c r="P28" s="1"/>
  <c r="S31" i="29" s="1"/>
  <c r="S201" s="1"/>
  <c r="Q118" i="31"/>
  <c r="Q27" s="1"/>
  <c r="T30" i="29" s="1"/>
  <c r="T155" s="1"/>
  <c r="T164" s="1"/>
  <c r="Q26" i="31"/>
  <c r="T29" i="29" s="1"/>
  <c r="T149" s="1"/>
  <c r="T153" s="1"/>
  <c r="Q119" i="31"/>
  <c r="Q28" s="1"/>
  <c r="T31" i="29" s="1"/>
  <c r="T201" s="1"/>
  <c r="T118" i="31"/>
  <c r="T27" s="1"/>
  <c r="W30" i="29" s="1"/>
  <c r="W155" s="1"/>
  <c r="W164" s="1"/>
  <c r="T26" i="31"/>
  <c r="W29" i="29" s="1"/>
  <c r="W149" s="1"/>
  <c r="W153" s="1"/>
  <c r="T119" i="31"/>
  <c r="T28" s="1"/>
  <c r="W31" i="29" s="1"/>
  <c r="W201" s="1"/>
  <c r="S26" i="31"/>
  <c r="V29" i="29" s="1"/>
  <c r="V149" s="1"/>
  <c r="V153" s="1"/>
  <c r="S119" i="31"/>
  <c r="S28" s="1"/>
  <c r="V31" i="29" s="1"/>
  <c r="V201" s="1"/>
  <c r="S118" i="31"/>
  <c r="S27" s="1"/>
  <c r="V30" i="29" s="1"/>
  <c r="V155" s="1"/>
  <c r="V164" s="1"/>
  <c r="Z96" i="31"/>
  <c r="Z95"/>
  <c r="Z7" s="1"/>
  <c r="K96"/>
  <c r="K95"/>
  <c r="V96"/>
  <c r="V8" s="1"/>
  <c r="Y12" i="29" s="1"/>
  <c r="Y179" s="1"/>
  <c r="V95" i="31"/>
  <c r="T95"/>
  <c r="T96"/>
  <c r="J12"/>
  <c r="M15" i="29" s="1"/>
  <c r="M85" s="1"/>
  <c r="J101" i="31"/>
  <c r="J13" s="1"/>
  <c r="M16" i="29" s="1"/>
  <c r="J102" i="31"/>
  <c r="J14" s="1"/>
  <c r="M17" i="29" s="1"/>
  <c r="M185" s="1"/>
  <c r="M188" s="1"/>
  <c r="H12" i="31"/>
  <c r="K15" i="29" s="1"/>
  <c r="K85" s="1"/>
  <c r="H102" i="31"/>
  <c r="H14" s="1"/>
  <c r="K17" i="29" s="1"/>
  <c r="K185" s="1"/>
  <c r="K188" s="1"/>
  <c r="H101" i="31"/>
  <c r="H13" s="1"/>
  <c r="K16" i="29" s="1"/>
  <c r="G7" i="31"/>
  <c r="R96"/>
  <c r="R8" s="1"/>
  <c r="U12" i="29" s="1"/>
  <c r="U179" s="1"/>
  <c r="R95" i="31"/>
  <c r="R7" s="1"/>
  <c r="I96"/>
  <c r="I95"/>
  <c r="Y96"/>
  <c r="Y8" s="1"/>
  <c r="AB12" i="29" s="1"/>
  <c r="AB179" s="1"/>
  <c r="Y95" i="31"/>
  <c r="Z12"/>
  <c r="AC15" i="29" s="1"/>
  <c r="AC85" s="1"/>
  <c r="Z101" i="31"/>
  <c r="Z13" s="1"/>
  <c r="AC16" i="29" s="1"/>
  <c r="Z102" i="31"/>
  <c r="Z14" s="1"/>
  <c r="AC17" i="29" s="1"/>
  <c r="AC185" s="1"/>
  <c r="AC188" s="1"/>
  <c r="K12" i="31"/>
  <c r="N15" i="29" s="1"/>
  <c r="N85" s="1"/>
  <c r="K102" i="31"/>
  <c r="K14" s="1"/>
  <c r="N17" i="29" s="1"/>
  <c r="N185" s="1"/>
  <c r="N188" s="1"/>
  <c r="K101" i="31"/>
  <c r="K13" s="1"/>
  <c r="N16" i="29" s="1"/>
  <c r="L12" i="31"/>
  <c r="O15" i="29" s="1"/>
  <c r="O85" s="1"/>
  <c r="L102" i="31"/>
  <c r="L14" s="1"/>
  <c r="O17" i="29" s="1"/>
  <c r="O185" s="1"/>
  <c r="O188" s="1"/>
  <c r="L101" i="31"/>
  <c r="L13" s="1"/>
  <c r="O16" i="29" s="1"/>
  <c r="P12" i="31"/>
  <c r="S15" i="29" s="1"/>
  <c r="S85" s="1"/>
  <c r="P101" i="31"/>
  <c r="P13" s="1"/>
  <c r="S16" i="29" s="1"/>
  <c r="P102" i="31"/>
  <c r="P14" s="1"/>
  <c r="S17" i="29" s="1"/>
  <c r="S185" s="1"/>
  <c r="S188" s="1"/>
  <c r="S12" i="31"/>
  <c r="V15" i="29" s="1"/>
  <c r="V85" s="1"/>
  <c r="S102" i="31"/>
  <c r="S14" s="1"/>
  <c r="V17" i="29" s="1"/>
  <c r="V185" s="1"/>
  <c r="V188" s="1"/>
  <c r="S101" i="31"/>
  <c r="S13" s="1"/>
  <c r="V16" i="29" s="1"/>
  <c r="J29"/>
  <c r="J149" s="1"/>
  <c r="J153" s="1"/>
  <c r="G28" i="31"/>
  <c r="J31" i="29" s="1"/>
  <c r="J201" s="1"/>
  <c r="G27" i="31"/>
  <c r="J30" i="29" s="1"/>
  <c r="J155" s="1"/>
  <c r="J164" s="1"/>
  <c r="I118" i="31"/>
  <c r="I27" s="1"/>
  <c r="L30" i="29" s="1"/>
  <c r="L155" s="1"/>
  <c r="L164" s="1"/>
  <c r="I26" i="31"/>
  <c r="L29" i="29" s="1"/>
  <c r="L149" s="1"/>
  <c r="L153" s="1"/>
  <c r="I119" i="31"/>
  <c r="I28" s="1"/>
  <c r="L31" i="29" s="1"/>
  <c r="L201" s="1"/>
  <c r="S96" i="31"/>
  <c r="S95"/>
  <c r="S7" s="1"/>
  <c r="N96"/>
  <c r="N95"/>
  <c r="U96"/>
  <c r="U8" s="1"/>
  <c r="X12" i="29" s="1"/>
  <c r="X179" s="1"/>
  <c r="U95" i="31"/>
  <c r="L95"/>
  <c r="L96"/>
  <c r="L8" s="1"/>
  <c r="O12" i="29" s="1"/>
  <c r="O179" s="1"/>
  <c r="Q12" i="31"/>
  <c r="T15" i="29" s="1"/>
  <c r="T85" s="1"/>
  <c r="Q102" i="31"/>
  <c r="Q14" s="1"/>
  <c r="T17" i="29" s="1"/>
  <c r="T185" s="1"/>
  <c r="T188" s="1"/>
  <c r="Q101" i="31"/>
  <c r="Q13" s="1"/>
  <c r="T16" i="29" s="1"/>
  <c r="T12" i="31"/>
  <c r="W15" i="29" s="1"/>
  <c r="W85" s="1"/>
  <c r="T102" i="31"/>
  <c r="T14" s="1"/>
  <c r="W17" i="29" s="1"/>
  <c r="W185" s="1"/>
  <c r="W188" s="1"/>
  <c r="T101" i="31"/>
  <c r="T13" s="1"/>
  <c r="W16" i="29" s="1"/>
  <c r="I12" i="31"/>
  <c r="L15" i="29" s="1"/>
  <c r="L85" s="1"/>
  <c r="I101" i="31"/>
  <c r="I13" s="1"/>
  <c r="L16" i="29" s="1"/>
  <c r="I102" i="31"/>
  <c r="I14" s="1"/>
  <c r="L17" i="29" s="1"/>
  <c r="L185" s="1"/>
  <c r="L188" s="1"/>
  <c r="W12" i="31"/>
  <c r="Z15" i="29" s="1"/>
  <c r="Z85" s="1"/>
  <c r="W102" i="31"/>
  <c r="W14" s="1"/>
  <c r="Z17" i="29" s="1"/>
  <c r="Z185" s="1"/>
  <c r="Z188" s="1"/>
  <c r="W101" i="31"/>
  <c r="W13" s="1"/>
  <c r="Z16" i="29" s="1"/>
  <c r="J96" i="31"/>
  <c r="J8" s="1"/>
  <c r="M12" i="29" s="1"/>
  <c r="M179" s="1"/>
  <c r="J95" i="31"/>
  <c r="H96"/>
  <c r="H8" s="1"/>
  <c r="K12" i="29" s="1"/>
  <c r="K179" s="1"/>
  <c r="H95" i="31"/>
  <c r="X96"/>
  <c r="X95"/>
  <c r="V12"/>
  <c r="Y15" i="29" s="1"/>
  <c r="Y85" s="1"/>
  <c r="V101" i="31"/>
  <c r="V13" s="1"/>
  <c r="Y16" i="29" s="1"/>
  <c r="V102" i="31"/>
  <c r="V14" s="1"/>
  <c r="Y17" i="29" s="1"/>
  <c r="Y185" s="1"/>
  <c r="Y188" s="1"/>
  <c r="M12" i="31"/>
  <c r="P15" i="29" s="1"/>
  <c r="P85" s="1"/>
  <c r="M102" i="31"/>
  <c r="M14" s="1"/>
  <c r="P17" i="29" s="1"/>
  <c r="P185" s="1"/>
  <c r="P188" s="1"/>
  <c r="M101" i="31"/>
  <c r="M13" s="1"/>
  <c r="P16" i="29" s="1"/>
  <c r="I15"/>
  <c r="I85" s="1"/>
  <c r="F13" i="31"/>
  <c r="I16" i="29" s="1"/>
  <c r="F14" i="31"/>
  <c r="I17" i="29" s="1"/>
  <c r="N12" i="31"/>
  <c r="Q15" i="29" s="1"/>
  <c r="Q85" s="1"/>
  <c r="N102" i="31"/>
  <c r="N14" s="1"/>
  <c r="Q17" i="29" s="1"/>
  <c r="Q185" s="1"/>
  <c r="Q188" s="1"/>
  <c r="N101" i="31"/>
  <c r="N13" s="1"/>
  <c r="Q16" i="29" s="1"/>
  <c r="O12" i="31"/>
  <c r="R15" i="29" s="1"/>
  <c r="R85" s="1"/>
  <c r="O102" i="31"/>
  <c r="O14" s="1"/>
  <c r="R17" i="29" s="1"/>
  <c r="R185" s="1"/>
  <c r="R188" s="1"/>
  <c r="O101" i="31"/>
  <c r="O13" s="1"/>
  <c r="R16" i="29" s="1"/>
  <c r="H118" i="31"/>
  <c r="H27" s="1"/>
  <c r="K30" i="29" s="1"/>
  <c r="K155" s="1"/>
  <c r="K164" s="1"/>
  <c r="H26" i="31"/>
  <c r="K29" i="29" s="1"/>
  <c r="K149" s="1"/>
  <c r="K153" s="1"/>
  <c r="H119" i="31"/>
  <c r="H28" s="1"/>
  <c r="K31" i="29" s="1"/>
  <c r="K201" s="1"/>
  <c r="O26" i="31"/>
  <c r="R29" i="29" s="1"/>
  <c r="R149" s="1"/>
  <c r="R153" s="1"/>
  <c r="O119" i="31"/>
  <c r="O28" s="1"/>
  <c r="R31" i="29" s="1"/>
  <c r="R201" s="1"/>
  <c r="O118" i="31"/>
  <c r="O27" s="1"/>
  <c r="R30" i="29" s="1"/>
  <c r="R155" s="1"/>
  <c r="R164" s="1"/>
  <c r="J118" i="31"/>
  <c r="J27" s="1"/>
  <c r="M30" i="29" s="1"/>
  <c r="M155" s="1"/>
  <c r="M164" s="1"/>
  <c r="J26" i="31"/>
  <c r="M29" i="29" s="1"/>
  <c r="M149" s="1"/>
  <c r="M153" s="1"/>
  <c r="J119" i="31"/>
  <c r="J28" s="1"/>
  <c r="M31" i="29" s="1"/>
  <c r="M201" s="1"/>
  <c r="O96" i="31"/>
  <c r="O95"/>
  <c r="M96"/>
  <c r="M95"/>
  <c r="U12"/>
  <c r="X15" i="29" s="1"/>
  <c r="X85" s="1"/>
  <c r="U102" i="31"/>
  <c r="U14" s="1"/>
  <c r="X17" i="29" s="1"/>
  <c r="X185" s="1"/>
  <c r="X188" s="1"/>
  <c r="U101" i="31"/>
  <c r="U13" s="1"/>
  <c r="X16" i="29" s="1"/>
  <c r="K26" i="31"/>
  <c r="N29" i="29" s="1"/>
  <c r="N149" s="1"/>
  <c r="N153" s="1"/>
  <c r="K119" i="31"/>
  <c r="K28" s="1"/>
  <c r="N31" i="29" s="1"/>
  <c r="N201" s="1"/>
  <c r="K118" i="31"/>
  <c r="K27" s="1"/>
  <c r="N30" i="29" s="1"/>
  <c r="N155" s="1"/>
  <c r="N164" s="1"/>
  <c r="F27" i="31"/>
  <c r="I30" i="29" s="1"/>
  <c r="I29"/>
  <c r="I149" s="1"/>
  <c r="I153" s="1"/>
  <c r="F28" i="31"/>
  <c r="I31" i="29" s="1"/>
  <c r="M118" i="31"/>
  <c r="M27" s="1"/>
  <c r="P30" i="29" s="1"/>
  <c r="P155" s="1"/>
  <c r="P164" s="1"/>
  <c r="M26" i="31"/>
  <c r="P29" i="29" s="1"/>
  <c r="P149" s="1"/>
  <c r="P153" s="1"/>
  <c r="M119" i="31"/>
  <c r="M28" s="1"/>
  <c r="P31" i="29" s="1"/>
  <c r="P201" s="1"/>
  <c r="Q96" i="31"/>
  <c r="Q8" s="1"/>
  <c r="T12" i="29" s="1"/>
  <c r="T179" s="1"/>
  <c r="Q95" i="31"/>
  <c r="Q7" s="1"/>
  <c r="J15" i="29"/>
  <c r="J85" s="1"/>
  <c r="G13" i="31"/>
  <c r="J16" i="29" s="1"/>
  <c r="R12" i="31"/>
  <c r="U15" i="29" s="1"/>
  <c r="U85" s="1"/>
  <c r="R101" i="31"/>
  <c r="R13" s="1"/>
  <c r="U16" i="29" s="1"/>
  <c r="R102" i="31"/>
  <c r="R14" s="1"/>
  <c r="U17" i="29" s="1"/>
  <c r="U185" s="1"/>
  <c r="U188" s="1"/>
  <c r="W96" i="31"/>
  <c r="W8" s="1"/>
  <c r="Z12" i="29" s="1"/>
  <c r="Z179" s="1"/>
  <c r="W95" i="31"/>
  <c r="W7" s="1"/>
  <c r="P95"/>
  <c r="P7" s="1"/>
  <c r="P96"/>
  <c r="Y12"/>
  <c r="AB15" i="29" s="1"/>
  <c r="AB85" s="1"/>
  <c r="Y101" i="31"/>
  <c r="Y13" s="1"/>
  <c r="AB16" i="29" s="1"/>
  <c r="Y102" i="31"/>
  <c r="Y14" s="1"/>
  <c r="AB17" i="29" s="1"/>
  <c r="AB185" s="1"/>
  <c r="AB188" s="1"/>
  <c r="Q84" i="31"/>
  <c r="G8"/>
  <c r="J12" i="29" s="1"/>
  <c r="J179" s="1"/>
  <c r="W6" i="31"/>
  <c r="R6"/>
  <c r="I6"/>
  <c r="I8"/>
  <c r="L12" i="29" s="1"/>
  <c r="L179" s="1"/>
  <c r="Y6" i="31"/>
  <c r="P6"/>
  <c r="P8"/>
  <c r="S12" i="29" s="1"/>
  <c r="S179" s="1"/>
  <c r="S6" i="31"/>
  <c r="S8"/>
  <c r="V12" i="29" s="1"/>
  <c r="V179" s="1"/>
  <c r="N6" i="31"/>
  <c r="N8"/>
  <c r="Q12" i="29" s="1"/>
  <c r="Q179" s="1"/>
  <c r="U6" i="31"/>
  <c r="L6"/>
  <c r="O6"/>
  <c r="O8"/>
  <c r="R12" i="29" s="1"/>
  <c r="R179" s="1"/>
  <c r="J6" i="31"/>
  <c r="Z6"/>
  <c r="Z8"/>
  <c r="AC12" i="29" s="1"/>
  <c r="AC179" s="1"/>
  <c r="Q6" i="31"/>
  <c r="H6"/>
  <c r="X6"/>
  <c r="X8"/>
  <c r="AA12" i="29" s="1"/>
  <c r="AA179" s="1"/>
  <c r="K6" i="31"/>
  <c r="K8"/>
  <c r="N12" i="29" s="1"/>
  <c r="N179" s="1"/>
  <c r="F8" i="31"/>
  <c r="I12" i="29" s="1"/>
  <c r="V6" i="31"/>
  <c r="M6"/>
  <c r="M8"/>
  <c r="P12" i="29" s="1"/>
  <c r="P179" s="1"/>
  <c r="T6" i="31"/>
  <c r="T8"/>
  <c r="W12" i="29" s="1"/>
  <c r="W179" s="1"/>
  <c r="N84" i="31"/>
  <c r="K84"/>
  <c r="F84"/>
  <c r="G84"/>
  <c r="T84"/>
  <c r="E84"/>
  <c r="Z84"/>
  <c r="R84"/>
  <c r="J84"/>
  <c r="I84"/>
  <c r="K7"/>
  <c r="F7"/>
  <c r="V7"/>
  <c r="M7"/>
  <c r="T7"/>
  <c r="I7"/>
  <c r="Y7"/>
  <c r="N7"/>
  <c r="U7"/>
  <c r="L7"/>
  <c r="O7"/>
  <c r="J7"/>
  <c r="H7"/>
  <c r="X7"/>
  <c r="S84"/>
  <c r="L84"/>
  <c r="X84"/>
  <c r="D84"/>
  <c r="Y84"/>
  <c r="O84"/>
  <c r="U84"/>
  <c r="H84"/>
  <c r="M84"/>
  <c r="C84"/>
  <c r="V84"/>
  <c r="P84"/>
  <c r="C90" i="9"/>
  <c r="C84"/>
  <c r="C89"/>
  <c r="AA168" i="34" l="1"/>
  <c r="AA189"/>
  <c r="W168"/>
  <c r="W189"/>
  <c r="Y168"/>
  <c r="Y189"/>
  <c r="O168"/>
  <c r="O189"/>
  <c r="U168"/>
  <c r="U189"/>
  <c r="L168"/>
  <c r="L189"/>
  <c r="H168"/>
  <c r="H189"/>
  <c r="G172"/>
  <c r="G193"/>
  <c r="G294" i="35"/>
  <c r="N168" i="34"/>
  <c r="N189"/>
  <c r="P168"/>
  <c r="P189"/>
  <c r="Z168"/>
  <c r="Z189"/>
  <c r="V168"/>
  <c r="V189"/>
  <c r="I168"/>
  <c r="I189"/>
  <c r="K168"/>
  <c r="K189"/>
  <c r="J168"/>
  <c r="J189"/>
  <c r="F273" i="35"/>
  <c r="F315" s="1"/>
  <c r="F244"/>
  <c r="S168" i="34"/>
  <c r="S189"/>
  <c r="M168"/>
  <c r="M189"/>
  <c r="AB168"/>
  <c r="AB189"/>
  <c r="X168"/>
  <c r="X189"/>
  <c r="Q168"/>
  <c r="Q189"/>
  <c r="R168"/>
  <c r="R189"/>
  <c r="G168"/>
  <c r="G189"/>
  <c r="T168"/>
  <c r="T189"/>
  <c r="L353" i="29"/>
  <c r="L352"/>
  <c r="L354"/>
  <c r="F340"/>
  <c r="F361"/>
  <c r="AW187" i="45"/>
  <c r="F151" i="34"/>
  <c r="F294" i="35"/>
  <c r="D288"/>
  <c r="G13" i="24" s="1"/>
  <c r="AW187" i="47"/>
  <c r="L331" i="29"/>
  <c r="L332"/>
  <c r="L333"/>
  <c r="AD116" i="34"/>
  <c r="G77"/>
  <c r="G164"/>
  <c r="G343" i="29"/>
  <c r="F322"/>
  <c r="O133" i="46"/>
  <c r="O138" s="1"/>
  <c r="O133" i="45"/>
  <c r="O138" s="1"/>
  <c r="O134" i="47"/>
  <c r="O139" s="1"/>
  <c r="AX187" i="46"/>
  <c r="F272" i="29"/>
  <c r="V10"/>
  <c r="V250" s="1"/>
  <c r="V251" s="1"/>
  <c r="M10"/>
  <c r="M248" s="1"/>
  <c r="N10"/>
  <c r="N250" s="1"/>
  <c r="N251" s="1"/>
  <c r="Q10"/>
  <c r="Q250" s="1"/>
  <c r="Q251" s="1"/>
  <c r="S10"/>
  <c r="S250" s="1"/>
  <c r="S251" s="1"/>
  <c r="U10"/>
  <c r="U248" s="1"/>
  <c r="P10"/>
  <c r="P250" s="1"/>
  <c r="P251" s="1"/>
  <c r="K10"/>
  <c r="AC10"/>
  <c r="AC248" s="1"/>
  <c r="R10"/>
  <c r="R248" s="1"/>
  <c r="L10"/>
  <c r="L248" s="1"/>
  <c r="J10"/>
  <c r="J248" s="1"/>
  <c r="AA10"/>
  <c r="AA248" s="1"/>
  <c r="X10"/>
  <c r="Z10"/>
  <c r="Z250" s="1"/>
  <c r="Z251" s="1"/>
  <c r="W10"/>
  <c r="W250" s="1"/>
  <c r="W251" s="1"/>
  <c r="Y10"/>
  <c r="Y250" s="1"/>
  <c r="Y251" s="1"/>
  <c r="T10"/>
  <c r="T250" s="1"/>
  <c r="T251" s="1"/>
  <c r="O10"/>
  <c r="O250" s="1"/>
  <c r="O251" s="1"/>
  <c r="AB10"/>
  <c r="AB59" s="1"/>
  <c r="G40" i="31"/>
  <c r="AD96" i="29"/>
  <c r="AX251" i="35"/>
  <c r="AW249"/>
  <c r="G122" i="34"/>
  <c r="AD105"/>
  <c r="AD106"/>
  <c r="AD103"/>
  <c r="I201" i="29"/>
  <c r="AD201" s="1"/>
  <c r="AD31"/>
  <c r="I185"/>
  <c r="I187" s="1"/>
  <c r="AD17"/>
  <c r="M277"/>
  <c r="L299"/>
  <c r="AD85"/>
  <c r="AD15"/>
  <c r="I179"/>
  <c r="AD179" s="1"/>
  <c r="AD12"/>
  <c r="I155"/>
  <c r="I171" s="1"/>
  <c r="AD30"/>
  <c r="F153"/>
  <c r="AD153" s="1"/>
  <c r="AD149"/>
  <c r="M279"/>
  <c r="L303"/>
  <c r="F222"/>
  <c r="AD130"/>
  <c r="F197"/>
  <c r="AD196"/>
  <c r="F187"/>
  <c r="K125"/>
  <c r="AD16"/>
  <c r="AD29"/>
  <c r="M105" i="31"/>
  <c r="L106"/>
  <c r="J41"/>
  <c r="M35" i="29" s="1"/>
  <c r="M21"/>
  <c r="M109" s="1"/>
  <c r="M125" s="1"/>
  <c r="K108" i="31"/>
  <c r="K17" s="1"/>
  <c r="N20" i="29" s="1"/>
  <c r="N108" s="1"/>
  <c r="N124" s="1"/>
  <c r="K112" i="31"/>
  <c r="K21" s="1"/>
  <c r="N24" i="29" s="1"/>
  <c r="N190" s="1"/>
  <c r="N192" s="1"/>
  <c r="K114" i="31"/>
  <c r="K23" s="1"/>
  <c r="N26" i="29" s="1"/>
  <c r="N195" s="1"/>
  <c r="K109" i="31"/>
  <c r="K18" s="1"/>
  <c r="K113"/>
  <c r="K22" s="1"/>
  <c r="N25" i="29" s="1"/>
  <c r="N112" s="1"/>
  <c r="N131" s="1"/>
  <c r="K110" i="31"/>
  <c r="K19" s="1"/>
  <c r="N22" i="29" s="1"/>
  <c r="N110" s="1"/>
  <c r="K111" i="31"/>
  <c r="K20" s="1"/>
  <c r="N23" i="29" s="1"/>
  <c r="N111" s="1"/>
  <c r="N126" s="1"/>
  <c r="J259"/>
  <c r="J260" s="1"/>
  <c r="J261"/>
  <c r="J262" s="1"/>
  <c r="L261"/>
  <c r="L262" s="1"/>
  <c r="L259"/>
  <c r="L260" s="1"/>
  <c r="I248"/>
  <c r="K248"/>
  <c r="X248"/>
  <c r="T248"/>
  <c r="K250"/>
  <c r="K251" s="1"/>
  <c r="X250"/>
  <c r="X251" s="1"/>
  <c r="L250"/>
  <c r="L251" s="1"/>
  <c r="M250"/>
  <c r="M251" s="1"/>
  <c r="I250"/>
  <c r="K259"/>
  <c r="K260" s="1"/>
  <c r="K261"/>
  <c r="K262" s="1"/>
  <c r="I261"/>
  <c r="I259"/>
  <c r="K131"/>
  <c r="H131"/>
  <c r="H132" s="1"/>
  <c r="G131"/>
  <c r="G132" s="1"/>
  <c r="M131"/>
  <c r="I131"/>
  <c r="I132" s="1"/>
  <c r="J131"/>
  <c r="J132" s="1"/>
  <c r="L131"/>
  <c r="L132" s="1"/>
  <c r="X187"/>
  <c r="Z187"/>
  <c r="M187"/>
  <c r="J187"/>
  <c r="U187"/>
  <c r="T182"/>
  <c r="T181"/>
  <c r="O182"/>
  <c r="O181"/>
  <c r="W182"/>
  <c r="W181"/>
  <c r="Y182"/>
  <c r="Y181"/>
  <c r="N182"/>
  <c r="N181"/>
  <c r="Q182"/>
  <c r="Q181"/>
  <c r="S182"/>
  <c r="S181"/>
  <c r="J182"/>
  <c r="J181"/>
  <c r="L204"/>
  <c r="L203"/>
  <c r="J204"/>
  <c r="J203"/>
  <c r="T204"/>
  <c r="T203"/>
  <c r="O204"/>
  <c r="O203"/>
  <c r="AC204"/>
  <c r="AC203"/>
  <c r="AC182"/>
  <c r="AC181"/>
  <c r="R182"/>
  <c r="R181"/>
  <c r="L182"/>
  <c r="L181"/>
  <c r="P204"/>
  <c r="P203"/>
  <c r="K204"/>
  <c r="K203"/>
  <c r="V204"/>
  <c r="V203"/>
  <c r="S204"/>
  <c r="S203"/>
  <c r="X204"/>
  <c r="X203"/>
  <c r="H97"/>
  <c r="H98" s="1"/>
  <c r="H186"/>
  <c r="H187" s="1"/>
  <c r="O187"/>
  <c r="N187"/>
  <c r="AB187"/>
  <c r="W187"/>
  <c r="P182"/>
  <c r="P181"/>
  <c r="AA182"/>
  <c r="AA181"/>
  <c r="V182"/>
  <c r="V181"/>
  <c r="Z182"/>
  <c r="Z181"/>
  <c r="N204"/>
  <c r="N203"/>
  <c r="K182"/>
  <c r="K181"/>
  <c r="AB204"/>
  <c r="AB203"/>
  <c r="Z204"/>
  <c r="Z203"/>
  <c r="Q204"/>
  <c r="Q203"/>
  <c r="AA204"/>
  <c r="AA203"/>
  <c r="R187"/>
  <c r="AC187"/>
  <c r="L187"/>
  <c r="T187"/>
  <c r="M182"/>
  <c r="M181"/>
  <c r="M204"/>
  <c r="M203"/>
  <c r="R204"/>
  <c r="R203"/>
  <c r="X182"/>
  <c r="X181"/>
  <c r="AB182"/>
  <c r="AB181"/>
  <c r="U182"/>
  <c r="U181"/>
  <c r="W204"/>
  <c r="W203"/>
  <c r="Y204"/>
  <c r="Y203"/>
  <c r="U204"/>
  <c r="U203"/>
  <c r="G97"/>
  <c r="G98" s="1"/>
  <c r="G186"/>
  <c r="G187" s="1"/>
  <c r="V187"/>
  <c r="Q187"/>
  <c r="Y187"/>
  <c r="K187"/>
  <c r="S187"/>
  <c r="AA187"/>
  <c r="P187"/>
  <c r="AB47" i="34"/>
  <c r="AB48" s="1"/>
  <c r="X47"/>
  <c r="X48" s="1"/>
  <c r="Q47"/>
  <c r="Q48" s="1"/>
  <c r="R47"/>
  <c r="R48" s="1"/>
  <c r="L47"/>
  <c r="L48" s="1"/>
  <c r="H47"/>
  <c r="H48" s="1"/>
  <c r="AC47"/>
  <c r="AC48" s="1"/>
  <c r="Y47"/>
  <c r="Y48" s="1"/>
  <c r="O47"/>
  <c r="O48" s="1"/>
  <c r="U47"/>
  <c r="U48" s="1"/>
  <c r="K47"/>
  <c r="K48" s="1"/>
  <c r="J47"/>
  <c r="J48" s="1"/>
  <c r="Z47"/>
  <c r="Z48" s="1"/>
  <c r="V47"/>
  <c r="V48" s="1"/>
  <c r="I47"/>
  <c r="I48" s="1"/>
  <c r="W47"/>
  <c r="W48" s="1"/>
  <c r="M47"/>
  <c r="M48" s="1"/>
  <c r="P47"/>
  <c r="P48" s="1"/>
  <c r="AA47"/>
  <c r="AA48" s="1"/>
  <c r="S47"/>
  <c r="S48" s="1"/>
  <c r="N47"/>
  <c r="N48" s="1"/>
  <c r="G47"/>
  <c r="G48" s="1"/>
  <c r="T47"/>
  <c r="T48" s="1"/>
  <c r="F47"/>
  <c r="F48" s="1"/>
  <c r="S11" i="29"/>
  <c r="V11"/>
  <c r="G43" i="31"/>
  <c r="G42"/>
  <c r="G35" s="1"/>
  <c r="J11" i="29"/>
  <c r="J34"/>
  <c r="Z11"/>
  <c r="T11"/>
  <c r="H43" i="31"/>
  <c r="H42"/>
  <c r="K11" i="29"/>
  <c r="H40" i="31"/>
  <c r="K34" i="29" s="1"/>
  <c r="U11"/>
  <c r="P11"/>
  <c r="P171"/>
  <c r="P172" s="1"/>
  <c r="P165"/>
  <c r="O11"/>
  <c r="Q11"/>
  <c r="I43" i="31"/>
  <c r="I42"/>
  <c r="L11" i="29"/>
  <c r="I40" i="31"/>
  <c r="L34" i="29" s="1"/>
  <c r="W11"/>
  <c r="R171"/>
  <c r="R172" s="1"/>
  <c r="R165"/>
  <c r="R88"/>
  <c r="R97" s="1"/>
  <c r="W88"/>
  <c r="W97" s="1"/>
  <c r="K88"/>
  <c r="K97" s="1"/>
  <c r="M88"/>
  <c r="M97" s="1"/>
  <c r="AB171"/>
  <c r="AB172" s="1"/>
  <c r="AB165"/>
  <c r="Q171"/>
  <c r="Q172" s="1"/>
  <c r="Q165"/>
  <c r="AA171"/>
  <c r="AA172" s="1"/>
  <c r="AA165"/>
  <c r="R11"/>
  <c r="J88"/>
  <c r="J97" s="1"/>
  <c r="M171"/>
  <c r="M172" s="1"/>
  <c r="M165"/>
  <c r="Q88"/>
  <c r="Q97" s="1"/>
  <c r="I88"/>
  <c r="T88"/>
  <c r="T97" s="1"/>
  <c r="J171"/>
  <c r="J172" s="1"/>
  <c r="J165"/>
  <c r="O88"/>
  <c r="O97" s="1"/>
  <c r="W171"/>
  <c r="W172" s="1"/>
  <c r="W165"/>
  <c r="Y171"/>
  <c r="Y172" s="1"/>
  <c r="Y165"/>
  <c r="AA88"/>
  <c r="AA97" s="1"/>
  <c r="U171"/>
  <c r="U172" s="1"/>
  <c r="U165"/>
  <c r="F42" i="31"/>
  <c r="F43"/>
  <c r="I11" i="29"/>
  <c r="F40" i="31"/>
  <c r="I34" i="29" s="1"/>
  <c r="AB88"/>
  <c r="AB97" s="1"/>
  <c r="X88"/>
  <c r="X97" s="1"/>
  <c r="Z88"/>
  <c r="Z97" s="1"/>
  <c r="L88"/>
  <c r="L97" s="1"/>
  <c r="L171"/>
  <c r="L172" s="1"/>
  <c r="L165"/>
  <c r="N88"/>
  <c r="N97" s="1"/>
  <c r="AC88"/>
  <c r="AC97" s="1"/>
  <c r="V171"/>
  <c r="V172" s="1"/>
  <c r="V165"/>
  <c r="T171"/>
  <c r="T172" s="1"/>
  <c r="T165"/>
  <c r="O171"/>
  <c r="O172" s="1"/>
  <c r="O165"/>
  <c r="AC171"/>
  <c r="AC172" s="1"/>
  <c r="AC165"/>
  <c r="AC11"/>
  <c r="AB11"/>
  <c r="K42" i="31"/>
  <c r="N11" i="29"/>
  <c r="K40" i="31"/>
  <c r="N34" i="29" s="1"/>
  <c r="N171"/>
  <c r="N172" s="1"/>
  <c r="N165"/>
  <c r="K171"/>
  <c r="K172" s="1"/>
  <c r="K165"/>
  <c r="P88"/>
  <c r="P97" s="1"/>
  <c r="Y88"/>
  <c r="Y97" s="1"/>
  <c r="V88"/>
  <c r="V97" s="1"/>
  <c r="S88"/>
  <c r="S97" s="1"/>
  <c r="S171"/>
  <c r="S172" s="1"/>
  <c r="S165"/>
  <c r="Z171"/>
  <c r="Z172" s="1"/>
  <c r="Z165"/>
  <c r="X171"/>
  <c r="X172" s="1"/>
  <c r="X165"/>
  <c r="X11"/>
  <c r="U88"/>
  <c r="U97" s="1"/>
  <c r="AA11"/>
  <c r="J42" i="31"/>
  <c r="J43"/>
  <c r="M11" i="29"/>
  <c r="J40" i="31"/>
  <c r="M34" i="29" s="1"/>
  <c r="Y11"/>
  <c r="O59"/>
  <c r="S59"/>
  <c r="Z59"/>
  <c r="AA59"/>
  <c r="AC59"/>
  <c r="X59"/>
  <c r="U59"/>
  <c r="M59"/>
  <c r="K59"/>
  <c r="T59"/>
  <c r="L59"/>
  <c r="F98"/>
  <c r="F131"/>
  <c r="C85" i="9"/>
  <c r="D21" i="10"/>
  <c r="C91" i="9"/>
  <c r="C98" s="1"/>
  <c r="B7" i="7"/>
  <c r="G21"/>
  <c r="B21" s="1"/>
  <c r="D9" i="10"/>
  <c r="E9" s="1"/>
  <c r="D11"/>
  <c r="E11" s="1"/>
  <c r="F11" s="1"/>
  <c r="G11" s="1"/>
  <c r="H11" s="1"/>
  <c r="I11" s="1"/>
  <c r="J11" s="1"/>
  <c r="K11" s="1"/>
  <c r="L11" s="1"/>
  <c r="D10"/>
  <c r="E10" s="1"/>
  <c r="F10" s="1"/>
  <c r="G10" s="1"/>
  <c r="H10" s="1"/>
  <c r="I10" s="1"/>
  <c r="J10" s="1"/>
  <c r="K10" s="1"/>
  <c r="L10" s="1"/>
  <c r="D14"/>
  <c r="N9"/>
  <c r="O9" s="1"/>
  <c r="P9" s="1"/>
  <c r="Q9" s="1"/>
  <c r="R9" s="1"/>
  <c r="S9" s="1"/>
  <c r="T9" s="1"/>
  <c r="U9" s="1"/>
  <c r="V9" s="1"/>
  <c r="N11"/>
  <c r="N10"/>
  <c r="O10" s="1"/>
  <c r="P10" s="1"/>
  <c r="Q10" s="1"/>
  <c r="R10" s="1"/>
  <c r="S10" s="1"/>
  <c r="T10" s="1"/>
  <c r="U10" s="1"/>
  <c r="V10" s="1"/>
  <c r="N14"/>
  <c r="O11"/>
  <c r="P11" s="1"/>
  <c r="Q11" s="1"/>
  <c r="R11" s="1"/>
  <c r="S11" s="1"/>
  <c r="T11" s="1"/>
  <c r="U11" s="1"/>
  <c r="V11" s="1"/>
  <c r="B18" i="7"/>
  <c r="C104" i="9"/>
  <c r="D4" i="10"/>
  <c r="E4" s="1"/>
  <c r="D5"/>
  <c r="E5" s="1"/>
  <c r="F5" s="1"/>
  <c r="G5" s="1"/>
  <c r="H5" s="1"/>
  <c r="I5" s="1"/>
  <c r="J5" s="1"/>
  <c r="K5" s="1"/>
  <c r="L5" s="1"/>
  <c r="D18"/>
  <c r="E18" s="1"/>
  <c r="F18" s="1"/>
  <c r="G18" s="1"/>
  <c r="H18" s="1"/>
  <c r="I18" s="1"/>
  <c r="J18" s="1"/>
  <c r="K18" s="1"/>
  <c r="L18" s="1"/>
  <c r="D19"/>
  <c r="E19" s="1"/>
  <c r="F19" s="1"/>
  <c r="G19" s="1"/>
  <c r="H19" s="1"/>
  <c r="I19" s="1"/>
  <c r="J19" s="1"/>
  <c r="K19" s="1"/>
  <c r="L19" s="1"/>
  <c r="N4"/>
  <c r="N5"/>
  <c r="O5" s="1"/>
  <c r="P5" s="1"/>
  <c r="Q5" s="1"/>
  <c r="R5" s="1"/>
  <c r="S5" s="1"/>
  <c r="T5" s="1"/>
  <c r="U5" s="1"/>
  <c r="V5" s="1"/>
  <c r="N18"/>
  <c r="O18" s="1"/>
  <c r="P18" s="1"/>
  <c r="Q18" s="1"/>
  <c r="R18" s="1"/>
  <c r="S18" s="1"/>
  <c r="T18" s="1"/>
  <c r="U18" s="1"/>
  <c r="V18" s="1"/>
  <c r="N19"/>
  <c r="O19" s="1"/>
  <c r="P19" s="1"/>
  <c r="Q19" s="1"/>
  <c r="R19" s="1"/>
  <c r="S19" s="1"/>
  <c r="T19" s="1"/>
  <c r="U19" s="1"/>
  <c r="V19" s="1"/>
  <c r="N21"/>
  <c r="D21" i="7"/>
  <c r="D13"/>
  <c r="C13"/>
  <c r="B13"/>
  <c r="D168" i="34" l="1"/>
  <c r="H15" i="24" s="1"/>
  <c r="D143" i="45"/>
  <c r="D144" i="47"/>
  <c r="D143" i="46"/>
  <c r="D137" i="44"/>
  <c r="D205" i="35"/>
  <c r="D96" i="34"/>
  <c r="D241" i="29"/>
  <c r="C167" i="9"/>
  <c r="C156"/>
  <c r="D189" i="34"/>
  <c r="H36" i="24" s="1"/>
  <c r="F132" i="46"/>
  <c r="F132" i="45"/>
  <c r="F126" i="44"/>
  <c r="F133" i="47"/>
  <c r="Y59" i="29"/>
  <c r="M132"/>
  <c r="V248"/>
  <c r="P132" i="45"/>
  <c r="P137" s="1"/>
  <c r="P132" i="46"/>
  <c r="P137" s="1"/>
  <c r="P133" i="47"/>
  <c r="P138" s="1"/>
  <c r="V59" i="29"/>
  <c r="M259"/>
  <c r="M260" s="1"/>
  <c r="AA250"/>
  <c r="AA251" s="1"/>
  <c r="F172" i="34"/>
  <c r="F193"/>
  <c r="D193" s="1"/>
  <c r="H40" i="24" s="1"/>
  <c r="M242" i="29"/>
  <c r="M321" s="1"/>
  <c r="M363" s="1"/>
  <c r="M261"/>
  <c r="M262" s="1"/>
  <c r="AB250"/>
  <c r="AB251" s="1"/>
  <c r="W59"/>
  <c r="AB248"/>
  <c r="AB249" s="1"/>
  <c r="N248"/>
  <c r="M354"/>
  <c r="M353"/>
  <c r="M352"/>
  <c r="N59"/>
  <c r="J250"/>
  <c r="J251" s="1"/>
  <c r="W248"/>
  <c r="W249" s="1"/>
  <c r="P59"/>
  <c r="Z248"/>
  <c r="U250"/>
  <c r="U251" s="1"/>
  <c r="AC250"/>
  <c r="AC251" s="1"/>
  <c r="H316"/>
  <c r="H337" s="1"/>
  <c r="O248"/>
  <c r="F343"/>
  <c r="F364"/>
  <c r="M342"/>
  <c r="AX187" i="45"/>
  <c r="G145" i="34"/>
  <c r="P145"/>
  <c r="V145"/>
  <c r="U145"/>
  <c r="H145"/>
  <c r="X145"/>
  <c r="T145"/>
  <c r="AA145"/>
  <c r="I145"/>
  <c r="K145"/>
  <c r="AC145"/>
  <c r="Q145"/>
  <c r="F145"/>
  <c r="S145"/>
  <c r="W145"/>
  <c r="J145"/>
  <c r="Y145"/>
  <c r="R145"/>
  <c r="N145"/>
  <c r="M145"/>
  <c r="Z145"/>
  <c r="O145"/>
  <c r="L145"/>
  <c r="AB145"/>
  <c r="AX187" i="47"/>
  <c r="S248" i="29"/>
  <c r="S249" s="1"/>
  <c r="Y248"/>
  <c r="G316"/>
  <c r="M333"/>
  <c r="M331"/>
  <c r="M332"/>
  <c r="F86" i="34"/>
  <c r="F91" s="1"/>
  <c r="F127" i="44"/>
  <c r="F134" i="47"/>
  <c r="F133" i="46"/>
  <c r="F133" i="45"/>
  <c r="F195" i="35"/>
  <c r="F200" s="1"/>
  <c r="P133" i="46"/>
  <c r="P138" s="1"/>
  <c r="P133" i="45"/>
  <c r="P138" s="1"/>
  <c r="P134" i="47"/>
  <c r="P139" s="1"/>
  <c r="R59" i="29"/>
  <c r="R250"/>
  <c r="R251" s="1"/>
  <c r="P248"/>
  <c r="P249" s="1"/>
  <c r="I204"/>
  <c r="AD204" s="1"/>
  <c r="H288"/>
  <c r="H296" s="1"/>
  <c r="H300" s="1"/>
  <c r="Q248"/>
  <c r="Q249" s="1"/>
  <c r="Q59"/>
  <c r="I182"/>
  <c r="AD182" s="1"/>
  <c r="G36" i="31"/>
  <c r="J43" i="29"/>
  <c r="AD234" i="35"/>
  <c r="AD233"/>
  <c r="K43" i="31"/>
  <c r="K44" s="1"/>
  <c r="I203" i="29"/>
  <c r="AD203" s="1"/>
  <c r="I181"/>
  <c r="AD232" i="35"/>
  <c r="AD231"/>
  <c r="AD10" i="29"/>
  <c r="J59"/>
  <c r="J44" i="31"/>
  <c r="M193" i="35"/>
  <c r="M198" s="1"/>
  <c r="F44" i="31"/>
  <c r="I193" i="35"/>
  <c r="G44" i="31"/>
  <c r="J193" i="35"/>
  <c r="J198" s="1"/>
  <c r="G288" i="29"/>
  <c r="G296" s="1"/>
  <c r="G304" s="1"/>
  <c r="I44" i="31"/>
  <c r="L193" i="35"/>
  <c r="L198" s="1"/>
  <c r="F230" i="29"/>
  <c r="F235" s="1"/>
  <c r="F194" i="35"/>
  <c r="F85" i="34"/>
  <c r="F90" s="1"/>
  <c r="N193" i="35"/>
  <c r="N198" s="1"/>
  <c r="H44" i="31"/>
  <c r="K193" i="35"/>
  <c r="K198" s="1"/>
  <c r="AD181" i="29"/>
  <c r="K132"/>
  <c r="AX249" i="35"/>
  <c r="F122" i="34"/>
  <c r="AD122" s="1"/>
  <c r="AD104"/>
  <c r="I251" i="29"/>
  <c r="AD11"/>
  <c r="I97"/>
  <c r="I98" s="1"/>
  <c r="AD88"/>
  <c r="N277"/>
  <c r="M299"/>
  <c r="AD187"/>
  <c r="I262"/>
  <c r="N279"/>
  <c r="M303"/>
  <c r="I164"/>
  <c r="AD155"/>
  <c r="AD186"/>
  <c r="F132"/>
  <c r="F288" s="1"/>
  <c r="F296" s="1"/>
  <c r="I172"/>
  <c r="AD172" s="1"/>
  <c r="AD171"/>
  <c r="I260"/>
  <c r="I188"/>
  <c r="AD188" s="1"/>
  <c r="AD185"/>
  <c r="N105" i="31"/>
  <c r="M106"/>
  <c r="L109"/>
  <c r="L18" s="1"/>
  <c r="L108"/>
  <c r="L17" s="1"/>
  <c r="O20" i="29" s="1"/>
  <c r="O108" s="1"/>
  <c r="O124" s="1"/>
  <c r="L113" i="31"/>
  <c r="L22" s="1"/>
  <c r="L114"/>
  <c r="L23" s="1"/>
  <c r="O26" i="29" s="1"/>
  <c r="O195" s="1"/>
  <c r="O197" s="1"/>
  <c r="L111" i="31"/>
  <c r="L20" s="1"/>
  <c r="O23" i="29" s="1"/>
  <c r="O111" s="1"/>
  <c r="O126" s="1"/>
  <c r="L112" i="31"/>
  <c r="L21" s="1"/>
  <c r="L110"/>
  <c r="L19" s="1"/>
  <c r="O22" i="29" s="1"/>
  <c r="O110" s="1"/>
  <c r="N21"/>
  <c r="N261" s="1"/>
  <c r="N262" s="1"/>
  <c r="K41" i="31"/>
  <c r="N35" i="29" s="1"/>
  <c r="L253"/>
  <c r="L255"/>
  <c r="L249"/>
  <c r="R249"/>
  <c r="M249"/>
  <c r="AC249"/>
  <c r="K253"/>
  <c r="K255"/>
  <c r="X249"/>
  <c r="N249"/>
  <c r="I249"/>
  <c r="Y249"/>
  <c r="M253"/>
  <c r="M255"/>
  <c r="T249"/>
  <c r="O249"/>
  <c r="J249"/>
  <c r="Z249"/>
  <c r="U249"/>
  <c r="N255"/>
  <c r="N253"/>
  <c r="I255"/>
  <c r="I253"/>
  <c r="J253"/>
  <c r="J255"/>
  <c r="K249"/>
  <c r="AA249"/>
  <c r="V249"/>
  <c r="H272"/>
  <c r="G272"/>
  <c r="AC61"/>
  <c r="AC70" s="1"/>
  <c r="AC71" s="1"/>
  <c r="J61"/>
  <c r="J70" s="1"/>
  <c r="J71" s="1"/>
  <c r="Y61"/>
  <c r="Y70" s="1"/>
  <c r="Y71" s="1"/>
  <c r="AB61"/>
  <c r="AB70" s="1"/>
  <c r="AB71" s="1"/>
  <c r="L61"/>
  <c r="L70" s="1"/>
  <c r="L71" s="1"/>
  <c r="P61"/>
  <c r="P70" s="1"/>
  <c r="P71" s="1"/>
  <c r="V61"/>
  <c r="V70" s="1"/>
  <c r="V71" s="1"/>
  <c r="X61"/>
  <c r="X70" s="1"/>
  <c r="X71" s="1"/>
  <c r="Q61"/>
  <c r="Q70" s="1"/>
  <c r="Q71" s="1"/>
  <c r="K61"/>
  <c r="K70" s="1"/>
  <c r="K71" s="1"/>
  <c r="Z61"/>
  <c r="Z70" s="1"/>
  <c r="Z71" s="1"/>
  <c r="M61"/>
  <c r="M70" s="1"/>
  <c r="M71" s="1"/>
  <c r="R61"/>
  <c r="R70" s="1"/>
  <c r="R71" s="1"/>
  <c r="W61"/>
  <c r="W70" s="1"/>
  <c r="W71" s="1"/>
  <c r="T61"/>
  <c r="T70" s="1"/>
  <c r="T71" s="1"/>
  <c r="AA61"/>
  <c r="AA70" s="1"/>
  <c r="AA71" s="1"/>
  <c r="O61"/>
  <c r="O70" s="1"/>
  <c r="O71" s="1"/>
  <c r="U61"/>
  <c r="U70" s="1"/>
  <c r="U71" s="1"/>
  <c r="S61"/>
  <c r="S70" s="1"/>
  <c r="S71" s="1"/>
  <c r="N61"/>
  <c r="N70" s="1"/>
  <c r="N71" s="1"/>
  <c r="I61"/>
  <c r="H197"/>
  <c r="L197"/>
  <c r="K197"/>
  <c r="J197"/>
  <c r="I197"/>
  <c r="M197"/>
  <c r="N197"/>
  <c r="M72" i="34"/>
  <c r="M74" s="1"/>
  <c r="M148" s="1"/>
  <c r="M84"/>
  <c r="K84"/>
  <c r="K72"/>
  <c r="K74" s="1"/>
  <c r="K148" s="1"/>
  <c r="N84"/>
  <c r="N72"/>
  <c r="N74" s="1"/>
  <c r="N148" s="1"/>
  <c r="O84"/>
  <c r="O86"/>
  <c r="O91" s="1"/>
  <c r="O85"/>
  <c r="O90" s="1"/>
  <c r="O72"/>
  <c r="O74" s="1"/>
  <c r="O148" s="1"/>
  <c r="J84"/>
  <c r="J72"/>
  <c r="J74" s="1"/>
  <c r="J148" s="1"/>
  <c r="I84"/>
  <c r="I72"/>
  <c r="I74" s="1"/>
  <c r="I148" s="1"/>
  <c r="L72"/>
  <c r="L74" s="1"/>
  <c r="L148" s="1"/>
  <c r="L84"/>
  <c r="U98" i="29"/>
  <c r="U104"/>
  <c r="U105" s="1"/>
  <c r="Y98"/>
  <c r="Y104"/>
  <c r="Y105" s="1"/>
  <c r="L98"/>
  <c r="L104"/>
  <c r="L105" s="1"/>
  <c r="X98"/>
  <c r="X104"/>
  <c r="X105" s="1"/>
  <c r="AB98"/>
  <c r="AB104"/>
  <c r="AB105" s="1"/>
  <c r="I36"/>
  <c r="I43"/>
  <c r="K98"/>
  <c r="K104"/>
  <c r="K105" s="1"/>
  <c r="W104"/>
  <c r="W105" s="1"/>
  <c r="W98"/>
  <c r="I35" i="31"/>
  <c r="I36" s="1"/>
  <c r="L36" i="29"/>
  <c r="H35" i="31"/>
  <c r="H36" s="1"/>
  <c r="K36" i="29"/>
  <c r="I37"/>
  <c r="J35" i="31"/>
  <c r="J36" s="1"/>
  <c r="M36" i="29"/>
  <c r="S98"/>
  <c r="S104"/>
  <c r="S105" s="1"/>
  <c r="P98"/>
  <c r="P104"/>
  <c r="P105" s="1"/>
  <c r="N37"/>
  <c r="N98"/>
  <c r="N104"/>
  <c r="N105" s="1"/>
  <c r="Z98"/>
  <c r="Z104"/>
  <c r="Z105" s="1"/>
  <c r="AA104"/>
  <c r="AA105" s="1"/>
  <c r="AA98"/>
  <c r="O98"/>
  <c r="O104"/>
  <c r="O105" s="1"/>
  <c r="T104"/>
  <c r="T105" s="1"/>
  <c r="T98"/>
  <c r="I104"/>
  <c r="J98"/>
  <c r="J104"/>
  <c r="J105" s="1"/>
  <c r="M98"/>
  <c r="M104"/>
  <c r="M105" s="1"/>
  <c r="R104"/>
  <c r="R105" s="1"/>
  <c r="R98"/>
  <c r="N36"/>
  <c r="K35" i="31"/>
  <c r="K36" s="1"/>
  <c r="L37" i="29"/>
  <c r="K37"/>
  <c r="J37"/>
  <c r="M37"/>
  <c r="V98"/>
  <c r="V104"/>
  <c r="V105" s="1"/>
  <c r="AC104"/>
  <c r="AC105" s="1"/>
  <c r="AC98"/>
  <c r="Q98"/>
  <c r="Q104"/>
  <c r="Q105" s="1"/>
  <c r="J36"/>
  <c r="E21" i="10"/>
  <c r="F231" i="29"/>
  <c r="C87" i="9"/>
  <c r="O14" i="10"/>
  <c r="E14"/>
  <c r="F4"/>
  <c r="O21"/>
  <c r="O4"/>
  <c r="F9"/>
  <c r="F206" i="35" l="1"/>
  <c r="G206"/>
  <c r="G272" s="1"/>
  <c r="N206"/>
  <c r="N272" s="1"/>
  <c r="L206"/>
  <c r="L272" s="1"/>
  <c r="AC206"/>
  <c r="AC272" s="1"/>
  <c r="J206"/>
  <c r="J272" s="1"/>
  <c r="V206"/>
  <c r="V272" s="1"/>
  <c r="O206"/>
  <c r="O272" s="1"/>
  <c r="S206"/>
  <c r="S272" s="1"/>
  <c r="Q206"/>
  <c r="Q272" s="1"/>
  <c r="X206"/>
  <c r="X272" s="1"/>
  <c r="AA206"/>
  <c r="AA272" s="1"/>
  <c r="AB206"/>
  <c r="AB272" s="1"/>
  <c r="H206"/>
  <c r="H272" s="1"/>
  <c r="M206"/>
  <c r="M272" s="1"/>
  <c r="R206"/>
  <c r="R272" s="1"/>
  <c r="W206"/>
  <c r="W272" s="1"/>
  <c r="P206"/>
  <c r="P272" s="1"/>
  <c r="Y206"/>
  <c r="Y272" s="1"/>
  <c r="I206"/>
  <c r="I272" s="1"/>
  <c r="U206"/>
  <c r="U272" s="1"/>
  <c r="T206"/>
  <c r="T272" s="1"/>
  <c r="K206"/>
  <c r="K272" s="1"/>
  <c r="Z206"/>
  <c r="Z272" s="1"/>
  <c r="AA144" i="45"/>
  <c r="AA212" s="1"/>
  <c r="F144"/>
  <c r="Q144"/>
  <c r="Q212" s="1"/>
  <c r="I144"/>
  <c r="I212" s="1"/>
  <c r="M144"/>
  <c r="M212" s="1"/>
  <c r="N144"/>
  <c r="N212" s="1"/>
  <c r="K144"/>
  <c r="K212" s="1"/>
  <c r="W144"/>
  <c r="W212" s="1"/>
  <c r="Y144"/>
  <c r="Y212" s="1"/>
  <c r="S144"/>
  <c r="S212" s="1"/>
  <c r="R144"/>
  <c r="R212" s="1"/>
  <c r="V144"/>
  <c r="V212" s="1"/>
  <c r="P144"/>
  <c r="P212" s="1"/>
  <c r="AB144"/>
  <c r="AB212" s="1"/>
  <c r="G144"/>
  <c r="G212" s="1"/>
  <c r="X144"/>
  <c r="X212" s="1"/>
  <c r="T144"/>
  <c r="T212" s="1"/>
  <c r="Z144"/>
  <c r="Z212" s="1"/>
  <c r="U144"/>
  <c r="U212" s="1"/>
  <c r="O144"/>
  <c r="O212" s="1"/>
  <c r="L144"/>
  <c r="L212" s="1"/>
  <c r="AC144"/>
  <c r="AC212" s="1"/>
  <c r="H144"/>
  <c r="H212" s="1"/>
  <c r="J144"/>
  <c r="J212" s="1"/>
  <c r="H97" i="34"/>
  <c r="H150" s="1"/>
  <c r="G97"/>
  <c r="G150" s="1"/>
  <c r="F97"/>
  <c r="F150" s="1"/>
  <c r="J97"/>
  <c r="J150" s="1"/>
  <c r="K97"/>
  <c r="K150" s="1"/>
  <c r="I97"/>
  <c r="I150" s="1"/>
  <c r="L97"/>
  <c r="L150" s="1"/>
  <c r="M97"/>
  <c r="M150" s="1"/>
  <c r="N97"/>
  <c r="N150" s="1"/>
  <c r="O97"/>
  <c r="O150" s="1"/>
  <c r="P97"/>
  <c r="P150" s="1"/>
  <c r="Q97"/>
  <c r="Q150" s="1"/>
  <c r="R97"/>
  <c r="R150" s="1"/>
  <c r="S97"/>
  <c r="S150" s="1"/>
  <c r="T97"/>
  <c r="T150" s="1"/>
  <c r="U97"/>
  <c r="U150" s="1"/>
  <c r="V97"/>
  <c r="V150" s="1"/>
  <c r="W97"/>
  <c r="W150" s="1"/>
  <c r="X97"/>
  <c r="X150" s="1"/>
  <c r="Y97"/>
  <c r="Y150" s="1"/>
  <c r="Z97"/>
  <c r="Z150" s="1"/>
  <c r="AA97"/>
  <c r="AA150" s="1"/>
  <c r="AB97"/>
  <c r="AB150" s="1"/>
  <c r="AC97"/>
  <c r="AC150" s="1"/>
  <c r="G145" i="47"/>
  <c r="G208" s="1"/>
  <c r="F145"/>
  <c r="I145"/>
  <c r="I208" s="1"/>
  <c r="N145"/>
  <c r="N208" s="1"/>
  <c r="W145"/>
  <c r="W208" s="1"/>
  <c r="H145"/>
  <c r="H208" s="1"/>
  <c r="K145"/>
  <c r="K208" s="1"/>
  <c r="Q145"/>
  <c r="Q208" s="1"/>
  <c r="M145"/>
  <c r="M208" s="1"/>
  <c r="J145"/>
  <c r="J208" s="1"/>
  <c r="S145"/>
  <c r="S208" s="1"/>
  <c r="AB145"/>
  <c r="AB208" s="1"/>
  <c r="L145"/>
  <c r="L208" s="1"/>
  <c r="X145"/>
  <c r="X208" s="1"/>
  <c r="T145"/>
  <c r="T208" s="1"/>
  <c r="V145"/>
  <c r="V208" s="1"/>
  <c r="P145"/>
  <c r="P208" s="1"/>
  <c r="AA145"/>
  <c r="AA208" s="1"/>
  <c r="Z145"/>
  <c r="Z208" s="1"/>
  <c r="Y145"/>
  <c r="Y208" s="1"/>
  <c r="R145"/>
  <c r="R208" s="1"/>
  <c r="U145"/>
  <c r="U208" s="1"/>
  <c r="AC145"/>
  <c r="AC208" s="1"/>
  <c r="O145"/>
  <c r="O208" s="1"/>
  <c r="G242" i="29"/>
  <c r="G321" s="1"/>
  <c r="F242"/>
  <c r="F321" s="1"/>
  <c r="H242"/>
  <c r="H321" s="1"/>
  <c r="I242"/>
  <c r="I321" s="1"/>
  <c r="L242"/>
  <c r="L321" s="1"/>
  <c r="J242"/>
  <c r="J321" s="1"/>
  <c r="K242"/>
  <c r="K321" s="1"/>
  <c r="Y144" i="46"/>
  <c r="Y209" s="1"/>
  <c r="I144"/>
  <c r="I209" s="1"/>
  <c r="N144"/>
  <c r="N209" s="1"/>
  <c r="W144"/>
  <c r="W209" s="1"/>
  <c r="G144"/>
  <c r="G209" s="1"/>
  <c r="P144"/>
  <c r="P209" s="1"/>
  <c r="AC144"/>
  <c r="AC209" s="1"/>
  <c r="M144"/>
  <c r="M209" s="1"/>
  <c r="R144"/>
  <c r="R209" s="1"/>
  <c r="AA144"/>
  <c r="AA209" s="1"/>
  <c r="K144"/>
  <c r="K209" s="1"/>
  <c r="T144"/>
  <c r="T209" s="1"/>
  <c r="Q144"/>
  <c r="Q209" s="1"/>
  <c r="V144"/>
  <c r="V209" s="1"/>
  <c r="F144"/>
  <c r="O144"/>
  <c r="O209" s="1"/>
  <c r="X144"/>
  <c r="X209" s="1"/>
  <c r="H144"/>
  <c r="H209" s="1"/>
  <c r="U144"/>
  <c r="U209" s="1"/>
  <c r="Z144"/>
  <c r="Z209" s="1"/>
  <c r="J144"/>
  <c r="J209" s="1"/>
  <c r="S144"/>
  <c r="S209" s="1"/>
  <c r="AB144"/>
  <c r="AB209" s="1"/>
  <c r="L144"/>
  <c r="L209" s="1"/>
  <c r="G138" i="44"/>
  <c r="G205" s="1"/>
  <c r="F138"/>
  <c r="F205" s="1"/>
  <c r="L169" i="34"/>
  <c r="L190"/>
  <c r="L166"/>
  <c r="L187"/>
  <c r="AC166"/>
  <c r="AC187"/>
  <c r="F137" i="46"/>
  <c r="J169" i="34"/>
  <c r="J190"/>
  <c r="K169"/>
  <c r="K190"/>
  <c r="AB166"/>
  <c r="AB187"/>
  <c r="M166"/>
  <c r="M187"/>
  <c r="J166"/>
  <c r="J187"/>
  <c r="Q166"/>
  <c r="Q187"/>
  <c r="AA166"/>
  <c r="AA187"/>
  <c r="U166"/>
  <c r="U187"/>
  <c r="F137" i="45"/>
  <c r="N166" i="34"/>
  <c r="N187"/>
  <c r="W166"/>
  <c r="W187"/>
  <c r="V166"/>
  <c r="V187"/>
  <c r="M169"/>
  <c r="M190"/>
  <c r="Z166"/>
  <c r="Z187"/>
  <c r="Y166"/>
  <c r="Y187"/>
  <c r="F166"/>
  <c r="F187"/>
  <c r="I166"/>
  <c r="I187"/>
  <c r="H166"/>
  <c r="H187"/>
  <c r="G166"/>
  <c r="G187"/>
  <c r="F131" i="44"/>
  <c r="G132" i="46"/>
  <c r="G137" s="1"/>
  <c r="G132" i="45"/>
  <c r="G137" s="1"/>
  <c r="G133" i="47"/>
  <c r="G138" s="1"/>
  <c r="T166" i="34"/>
  <c r="T187"/>
  <c r="Q132" i="45"/>
  <c r="Q137" s="1"/>
  <c r="Q132" i="46"/>
  <c r="Q137" s="1"/>
  <c r="Q133" i="47"/>
  <c r="Q138" s="1"/>
  <c r="I169" i="34"/>
  <c r="I190"/>
  <c r="O169"/>
  <c r="O190"/>
  <c r="N169"/>
  <c r="N190"/>
  <c r="O166"/>
  <c r="O187"/>
  <c r="R166"/>
  <c r="R187"/>
  <c r="S166"/>
  <c r="S187"/>
  <c r="K166"/>
  <c r="K187"/>
  <c r="X166"/>
  <c r="X187"/>
  <c r="P166"/>
  <c r="P187"/>
  <c r="F138" i="47"/>
  <c r="AD251" i="29"/>
  <c r="O253"/>
  <c r="N354"/>
  <c r="N353"/>
  <c r="N352"/>
  <c r="H358"/>
  <c r="AD250"/>
  <c r="K316"/>
  <c r="G337"/>
  <c r="G358"/>
  <c r="AD59"/>
  <c r="F92" i="34"/>
  <c r="F149" s="1"/>
  <c r="L316" i="29"/>
  <c r="AD97"/>
  <c r="M316"/>
  <c r="F316"/>
  <c r="L131" i="47"/>
  <c r="L136" s="1"/>
  <c r="L130" i="45"/>
  <c r="L135" s="1"/>
  <c r="L124" i="44"/>
  <c r="L129" s="1"/>
  <c r="L130" i="46"/>
  <c r="L135" s="1"/>
  <c r="N331" i="29"/>
  <c r="N332"/>
  <c r="N333"/>
  <c r="I130" i="46"/>
  <c r="I131" i="47"/>
  <c r="I130" i="45"/>
  <c r="I124" i="44"/>
  <c r="J316" i="29"/>
  <c r="J130" i="45"/>
  <c r="J135" s="1"/>
  <c r="J124" i="44"/>
  <c r="J129" s="1"/>
  <c r="J130" i="46"/>
  <c r="J135" s="1"/>
  <c r="J131" i="47"/>
  <c r="J136" s="1"/>
  <c r="N130" i="45"/>
  <c r="N135" s="1"/>
  <c r="N124" i="44"/>
  <c r="N129" s="1"/>
  <c r="N130" i="46"/>
  <c r="N135" s="1"/>
  <c r="N131" i="47"/>
  <c r="N136" s="1"/>
  <c r="M130" i="46"/>
  <c r="M135" s="1"/>
  <c r="M131" i="47"/>
  <c r="M136" s="1"/>
  <c r="M130" i="45"/>
  <c r="M135" s="1"/>
  <c r="M124" i="44"/>
  <c r="M129" s="1"/>
  <c r="K130" i="45"/>
  <c r="K135" s="1"/>
  <c r="K124" i="44"/>
  <c r="K129" s="1"/>
  <c r="K130" i="46"/>
  <c r="K135" s="1"/>
  <c r="K131" i="47"/>
  <c r="K136" s="1"/>
  <c r="L89" i="34"/>
  <c r="I89"/>
  <c r="N89"/>
  <c r="M89"/>
  <c r="J89"/>
  <c r="O89"/>
  <c r="K89"/>
  <c r="H304" i="29"/>
  <c r="G300"/>
  <c r="F132" i="44"/>
  <c r="F139" i="47"/>
  <c r="Q134"/>
  <c r="Q139" s="1"/>
  <c r="Q133" i="45"/>
  <c r="Q138" s="1"/>
  <c r="Q133" i="46"/>
  <c r="Q138" s="1"/>
  <c r="F138"/>
  <c r="G133" i="45"/>
  <c r="G138" s="1"/>
  <c r="G134" i="47"/>
  <c r="G139" s="1"/>
  <c r="G133" i="46"/>
  <c r="G138" s="1"/>
  <c r="G139" s="1"/>
  <c r="G195" i="35"/>
  <c r="G200" s="1"/>
  <c r="F138" i="45"/>
  <c r="AD248" i="29"/>
  <c r="I192" i="35"/>
  <c r="I197" s="1"/>
  <c r="N192"/>
  <c r="N197" s="1"/>
  <c r="M192"/>
  <c r="M197" s="1"/>
  <c r="K192"/>
  <c r="K197" s="1"/>
  <c r="K77" i="29"/>
  <c r="K78" s="1"/>
  <c r="J77"/>
  <c r="J78" s="1"/>
  <c r="O24"/>
  <c r="O190" s="1"/>
  <c r="O192" s="1"/>
  <c r="P77"/>
  <c r="P78" s="1"/>
  <c r="F199" i="35"/>
  <c r="I198"/>
  <c r="M237"/>
  <c r="M238" s="1"/>
  <c r="M241"/>
  <c r="M242" s="1"/>
  <c r="M174"/>
  <c r="M239"/>
  <c r="M240" s="1"/>
  <c r="L237"/>
  <c r="L238" s="1"/>
  <c r="L239"/>
  <c r="L240" s="1"/>
  <c r="L241"/>
  <c r="L242" s="1"/>
  <c r="L174"/>
  <c r="J237"/>
  <c r="J238" s="1"/>
  <c r="J239"/>
  <c r="J240" s="1"/>
  <c r="J241"/>
  <c r="J242" s="1"/>
  <c r="J174"/>
  <c r="I185"/>
  <c r="J192"/>
  <c r="J197" s="1"/>
  <c r="AD98" i="29"/>
  <c r="K237" i="35"/>
  <c r="K238" s="1"/>
  <c r="K239"/>
  <c r="K240" s="1"/>
  <c r="K241"/>
  <c r="K242" s="1"/>
  <c r="K174"/>
  <c r="G230" i="29"/>
  <c r="G235" s="1"/>
  <c r="G194" i="35"/>
  <c r="G199" s="1"/>
  <c r="G85" i="34"/>
  <c r="G90" s="1"/>
  <c r="N237" i="35"/>
  <c r="N238" s="1"/>
  <c r="N239"/>
  <c r="N240" s="1"/>
  <c r="N241"/>
  <c r="N242" s="1"/>
  <c r="N174"/>
  <c r="I174"/>
  <c r="I237"/>
  <c r="I241"/>
  <c r="I239"/>
  <c r="L192"/>
  <c r="L197" s="1"/>
  <c r="O255" i="29"/>
  <c r="I70"/>
  <c r="AD61"/>
  <c r="AD164"/>
  <c r="I165"/>
  <c r="AD165" s="1"/>
  <c r="O277"/>
  <c r="N299"/>
  <c r="F300"/>
  <c r="F304"/>
  <c r="O279"/>
  <c r="N303"/>
  <c r="F236"/>
  <c r="AD249"/>
  <c r="I105"/>
  <c r="AD105" s="1"/>
  <c r="AD104"/>
  <c r="AG21" s="1"/>
  <c r="O25"/>
  <c r="O112" s="1"/>
  <c r="O131" s="1"/>
  <c r="L42" i="31"/>
  <c r="L43"/>
  <c r="L40"/>
  <c r="O34" i="29" s="1"/>
  <c r="N106" i="31"/>
  <c r="O105"/>
  <c r="M114"/>
  <c r="M23" s="1"/>
  <c r="P26" i="29" s="1"/>
  <c r="P195" s="1"/>
  <c r="P197" s="1"/>
  <c r="M108" i="31"/>
  <c r="M17" s="1"/>
  <c r="P20" i="29" s="1"/>
  <c r="P108" s="1"/>
  <c r="P124" s="1"/>
  <c r="M113" i="31"/>
  <c r="M22" s="1"/>
  <c r="M109"/>
  <c r="M18" s="1"/>
  <c r="M110"/>
  <c r="M19" s="1"/>
  <c r="P22" i="29" s="1"/>
  <c r="P110" s="1"/>
  <c r="M112" i="31"/>
  <c r="M21" s="1"/>
  <c r="M111"/>
  <c r="M20" s="1"/>
  <c r="P23" i="29" s="1"/>
  <c r="N109"/>
  <c r="N125" s="1"/>
  <c r="N242"/>
  <c r="N321" s="1"/>
  <c r="N259"/>
  <c r="O21"/>
  <c r="L41" i="31"/>
  <c r="O35" i="29" s="1"/>
  <c r="M267"/>
  <c r="M268" s="1"/>
  <c r="M265"/>
  <c r="M266" s="1"/>
  <c r="M269"/>
  <c r="M270" s="1"/>
  <c r="K269"/>
  <c r="K270" s="1"/>
  <c r="K265"/>
  <c r="K266" s="1"/>
  <c r="K267"/>
  <c r="K268" s="1"/>
  <c r="J265"/>
  <c r="J266" s="1"/>
  <c r="J269"/>
  <c r="J270" s="1"/>
  <c r="J267"/>
  <c r="J268" s="1"/>
  <c r="N269"/>
  <c r="N270" s="1"/>
  <c r="N267"/>
  <c r="N268" s="1"/>
  <c r="N265"/>
  <c r="N266" s="1"/>
  <c r="L269"/>
  <c r="L270" s="1"/>
  <c r="L267"/>
  <c r="L268" s="1"/>
  <c r="L265"/>
  <c r="L266" s="1"/>
  <c r="I269"/>
  <c r="I267"/>
  <c r="I265"/>
  <c r="N77"/>
  <c r="N78" s="1"/>
  <c r="AB77"/>
  <c r="AB78" s="1"/>
  <c r="X77"/>
  <c r="X78" s="1"/>
  <c r="M77"/>
  <c r="M78" s="1"/>
  <c r="AA77"/>
  <c r="AA78" s="1"/>
  <c r="J256"/>
  <c r="J254"/>
  <c r="I254"/>
  <c r="V77"/>
  <c r="V78" s="1"/>
  <c r="I256"/>
  <c r="Z77"/>
  <c r="Z78" s="1"/>
  <c r="Q77"/>
  <c r="Q78" s="1"/>
  <c r="L77"/>
  <c r="L78" s="1"/>
  <c r="AC77"/>
  <c r="AC78" s="1"/>
  <c r="Y77"/>
  <c r="Y78" s="1"/>
  <c r="O77"/>
  <c r="O78" s="1"/>
  <c r="R77"/>
  <c r="R78" s="1"/>
  <c r="G231"/>
  <c r="G236" s="1"/>
  <c r="G237" s="1"/>
  <c r="G320" s="1"/>
  <c r="G362" s="1"/>
  <c r="G86" i="34"/>
  <c r="G91" s="1"/>
  <c r="F21" i="10"/>
  <c r="S77" i="29"/>
  <c r="S78" s="1"/>
  <c r="I77"/>
  <c r="T77"/>
  <c r="T78" s="1"/>
  <c r="U77"/>
  <c r="U78" s="1"/>
  <c r="W77"/>
  <c r="W78" s="1"/>
  <c r="O88" i="34"/>
  <c r="P85"/>
  <c r="P90" s="1"/>
  <c r="P86"/>
  <c r="P91" s="1"/>
  <c r="P72"/>
  <c r="P74" s="1"/>
  <c r="P84"/>
  <c r="J210" i="29"/>
  <c r="J88" i="34"/>
  <c r="K210" i="29"/>
  <c r="K88" i="34"/>
  <c r="L38" i="29"/>
  <c r="L221" s="1"/>
  <c r="L222" s="1"/>
  <c r="L76" i="34"/>
  <c r="L77" s="1"/>
  <c r="N210" i="29"/>
  <c r="N88" i="34"/>
  <c r="I38" i="29"/>
  <c r="I76" i="34"/>
  <c r="I77" s="1"/>
  <c r="M38" i="29"/>
  <c r="M221" s="1"/>
  <c r="M222" s="1"/>
  <c r="M76" i="34"/>
  <c r="M77" s="1"/>
  <c r="O76"/>
  <c r="O77" s="1"/>
  <c r="I210" i="29"/>
  <c r="I88" i="34"/>
  <c r="M210" i="29"/>
  <c r="M88" i="34"/>
  <c r="J38" i="29"/>
  <c r="J221" s="1"/>
  <c r="J222" s="1"/>
  <c r="J76" i="34"/>
  <c r="J77" s="1"/>
  <c r="K38" i="29"/>
  <c r="K221" s="1"/>
  <c r="K222" s="1"/>
  <c r="K76" i="34"/>
  <c r="K77" s="1"/>
  <c r="L210" i="29"/>
  <c r="L88" i="34"/>
  <c r="N38" i="29"/>
  <c r="N221" s="1"/>
  <c r="N222" s="1"/>
  <c r="N76" i="34"/>
  <c r="N77" s="1"/>
  <c r="N43" i="29"/>
  <c r="M43"/>
  <c r="K43"/>
  <c r="L43"/>
  <c r="N228"/>
  <c r="N233" s="1"/>
  <c r="N229"/>
  <c r="N234" s="1"/>
  <c r="M229"/>
  <c r="M234" s="1"/>
  <c r="M228"/>
  <c r="M233" s="1"/>
  <c r="I229"/>
  <c r="I228"/>
  <c r="J228"/>
  <c r="J233" s="1"/>
  <c r="J229"/>
  <c r="J234" s="1"/>
  <c r="K228"/>
  <c r="K233" s="1"/>
  <c r="K229"/>
  <c r="K234" s="1"/>
  <c r="L228"/>
  <c r="L233" s="1"/>
  <c r="L229"/>
  <c r="L234" s="1"/>
  <c r="P14" i="10"/>
  <c r="F14"/>
  <c r="G9"/>
  <c r="P4"/>
  <c r="G21"/>
  <c r="I195" i="35" s="1"/>
  <c r="P21" i="10"/>
  <c r="G4"/>
  <c r="F226" i="44" l="1"/>
  <c r="F247"/>
  <c r="S230" i="46"/>
  <c r="S251"/>
  <c r="H251"/>
  <c r="H230"/>
  <c r="V230"/>
  <c r="V251"/>
  <c r="AA230"/>
  <c r="AA251"/>
  <c r="P230"/>
  <c r="P251"/>
  <c r="I230"/>
  <c r="I251"/>
  <c r="L363" i="29"/>
  <c r="L342"/>
  <c r="G363"/>
  <c r="G342"/>
  <c r="R250" i="47"/>
  <c r="R229"/>
  <c r="P250"/>
  <c r="P229"/>
  <c r="L229"/>
  <c r="L250"/>
  <c r="M250"/>
  <c r="M229"/>
  <c r="W250"/>
  <c r="W229"/>
  <c r="G250"/>
  <c r="G229"/>
  <c r="Z192" i="34"/>
  <c r="Z171"/>
  <c r="V192"/>
  <c r="V171"/>
  <c r="R192"/>
  <c r="R171"/>
  <c r="N192"/>
  <c r="N171"/>
  <c r="K192"/>
  <c r="K171"/>
  <c r="H192"/>
  <c r="H171"/>
  <c r="L254" i="45"/>
  <c r="L233"/>
  <c r="T254"/>
  <c r="T233"/>
  <c r="P254"/>
  <c r="P233"/>
  <c r="Y254"/>
  <c r="Y233"/>
  <c r="M254"/>
  <c r="M233"/>
  <c r="AA254"/>
  <c r="AA233"/>
  <c r="U293" i="35"/>
  <c r="U314"/>
  <c r="W314"/>
  <c r="W293"/>
  <c r="AB314"/>
  <c r="AB293"/>
  <c r="S293"/>
  <c r="S314"/>
  <c r="AC314"/>
  <c r="AC293"/>
  <c r="F272"/>
  <c r="AD206"/>
  <c r="AG26" s="1"/>
  <c r="AB230" i="46"/>
  <c r="AB251"/>
  <c r="U230"/>
  <c r="U251"/>
  <c r="F209"/>
  <c r="AD144"/>
  <c r="K230"/>
  <c r="K251"/>
  <c r="AC230"/>
  <c r="AC251"/>
  <c r="N230"/>
  <c r="N251"/>
  <c r="J342" i="29"/>
  <c r="J363"/>
  <c r="F363"/>
  <c r="F342"/>
  <c r="U250" i="47"/>
  <c r="U229"/>
  <c r="AA229"/>
  <c r="AA250"/>
  <c r="X250"/>
  <c r="X229"/>
  <c r="J229"/>
  <c r="J250"/>
  <c r="H250"/>
  <c r="H229"/>
  <c r="F208"/>
  <c r="AD145"/>
  <c r="AA192" i="34"/>
  <c r="AA171"/>
  <c r="W192"/>
  <c r="W171"/>
  <c r="S192"/>
  <c r="S171"/>
  <c r="O192"/>
  <c r="O171"/>
  <c r="I171"/>
  <c r="I192"/>
  <c r="G192"/>
  <c r="G171"/>
  <c r="AC254" i="45"/>
  <c r="AC233"/>
  <c r="Z254"/>
  <c r="Z233"/>
  <c r="AB254"/>
  <c r="AB233"/>
  <c r="S254"/>
  <c r="S233"/>
  <c r="N254"/>
  <c r="N233"/>
  <c r="F212"/>
  <c r="AD144"/>
  <c r="T314" i="35"/>
  <c r="T293"/>
  <c r="P314"/>
  <c r="P293"/>
  <c r="H314"/>
  <c r="H293"/>
  <c r="Q314"/>
  <c r="Q293"/>
  <c r="J314"/>
  <c r="J293"/>
  <c r="G314"/>
  <c r="G293"/>
  <c r="D166" i="34"/>
  <c r="H13" i="24" s="1"/>
  <c r="L230" i="46"/>
  <c r="L251"/>
  <c r="Z230"/>
  <c r="Z251"/>
  <c r="O230"/>
  <c r="O251"/>
  <c r="T230"/>
  <c r="T251"/>
  <c r="M230"/>
  <c r="M251"/>
  <c r="W230"/>
  <c r="W251"/>
  <c r="K363" i="29"/>
  <c r="K342"/>
  <c r="H363"/>
  <c r="H342"/>
  <c r="AC250" i="47"/>
  <c r="AC229"/>
  <c r="Z250"/>
  <c r="Z229"/>
  <c r="T229"/>
  <c r="T250"/>
  <c r="S250"/>
  <c r="S229"/>
  <c r="K229"/>
  <c r="K250"/>
  <c r="I250"/>
  <c r="I229"/>
  <c r="AB192" i="34"/>
  <c r="AB171"/>
  <c r="X192"/>
  <c r="X171"/>
  <c r="T192"/>
  <c r="T171"/>
  <c r="P192"/>
  <c r="P171"/>
  <c r="L192"/>
  <c r="L171"/>
  <c r="F192"/>
  <c r="F171"/>
  <c r="H254" i="45"/>
  <c r="H233"/>
  <c r="U254"/>
  <c r="U233"/>
  <c r="G254"/>
  <c r="G233"/>
  <c r="R254"/>
  <c r="R233"/>
  <c r="K254"/>
  <c r="K233"/>
  <c r="Q254"/>
  <c r="Q233"/>
  <c r="K314" i="35"/>
  <c r="K293"/>
  <c r="Y314"/>
  <c r="Y293"/>
  <c r="M314"/>
  <c r="M293"/>
  <c r="X314"/>
  <c r="X293"/>
  <c r="V314"/>
  <c r="V293"/>
  <c r="N314"/>
  <c r="N293"/>
  <c r="G247" i="44"/>
  <c r="G226"/>
  <c r="J230" i="46"/>
  <c r="J251"/>
  <c r="X230"/>
  <c r="X251"/>
  <c r="Q230"/>
  <c r="Q251"/>
  <c r="R230"/>
  <c r="R251"/>
  <c r="G251"/>
  <c r="G230"/>
  <c r="Y230"/>
  <c r="Y251"/>
  <c r="I342" i="29"/>
  <c r="I363"/>
  <c r="O229" i="47"/>
  <c r="O250"/>
  <c r="Y250"/>
  <c r="Y229"/>
  <c r="V250"/>
  <c r="V229"/>
  <c r="AB250"/>
  <c r="AB229"/>
  <c r="Q250"/>
  <c r="Q229"/>
  <c r="N250"/>
  <c r="N229"/>
  <c r="AC192" i="34"/>
  <c r="AC171"/>
  <c r="Y192"/>
  <c r="Y171"/>
  <c r="U192"/>
  <c r="U171"/>
  <c r="Q192"/>
  <c r="Q171"/>
  <c r="M192"/>
  <c r="M171"/>
  <c r="J192"/>
  <c r="J171"/>
  <c r="J254" i="45"/>
  <c r="J233"/>
  <c r="O254"/>
  <c r="O233"/>
  <c r="X254"/>
  <c r="X233"/>
  <c r="V254"/>
  <c r="V233"/>
  <c r="W254"/>
  <c r="W233"/>
  <c r="I254"/>
  <c r="I233"/>
  <c r="Z293" i="35"/>
  <c r="Z314"/>
  <c r="I314"/>
  <c r="I293"/>
  <c r="R314"/>
  <c r="R293"/>
  <c r="AA314"/>
  <c r="AA293"/>
  <c r="O314"/>
  <c r="O293"/>
  <c r="L314"/>
  <c r="L293"/>
  <c r="H132" i="45"/>
  <c r="H137" s="1"/>
  <c r="H132" i="46"/>
  <c r="H137" s="1"/>
  <c r="H133" i="47"/>
  <c r="K273" i="35"/>
  <c r="K315" s="1"/>
  <c r="K244"/>
  <c r="J244"/>
  <c r="J273"/>
  <c r="J315" s="1"/>
  <c r="L273"/>
  <c r="L315" s="1"/>
  <c r="L244"/>
  <c r="M273"/>
  <c r="M315" s="1"/>
  <c r="M244"/>
  <c r="R132" i="45"/>
  <c r="R137" s="1"/>
  <c r="R132" i="46"/>
  <c r="R137" s="1"/>
  <c r="R133" i="47"/>
  <c r="R138" s="1"/>
  <c r="N273" i="35"/>
  <c r="N315" s="1"/>
  <c r="N244"/>
  <c r="F170" i="34"/>
  <c r="F173" s="1"/>
  <c r="F175" s="1"/>
  <c r="F191"/>
  <c r="F194" s="1"/>
  <c r="F196" s="1"/>
  <c r="D187"/>
  <c r="G139" i="45"/>
  <c r="G211" s="1"/>
  <c r="G253" s="1"/>
  <c r="O354" i="29"/>
  <c r="O352"/>
  <c r="O353"/>
  <c r="K337"/>
  <c r="K358"/>
  <c r="M337"/>
  <c r="M358"/>
  <c r="N342"/>
  <c r="N363"/>
  <c r="J337"/>
  <c r="J358"/>
  <c r="F337"/>
  <c r="F358"/>
  <c r="L337"/>
  <c r="L358"/>
  <c r="G208" i="46"/>
  <c r="G250" s="1"/>
  <c r="G186"/>
  <c r="O92" i="34"/>
  <c r="O149" s="1"/>
  <c r="F152"/>
  <c r="F126"/>
  <c r="P148"/>
  <c r="J294" i="35"/>
  <c r="M294"/>
  <c r="K294"/>
  <c r="G140" i="47"/>
  <c r="I129" i="44"/>
  <c r="I135" i="46"/>
  <c r="I313" i="29"/>
  <c r="J322"/>
  <c r="J364" s="1"/>
  <c r="O332"/>
  <c r="O333"/>
  <c r="O331"/>
  <c r="I136" i="47"/>
  <c r="I135" i="45"/>
  <c r="I164" i="34"/>
  <c r="M164"/>
  <c r="L164"/>
  <c r="O164"/>
  <c r="P89"/>
  <c r="N164"/>
  <c r="J164"/>
  <c r="K164"/>
  <c r="G341" i="29"/>
  <c r="G201" i="35"/>
  <c r="J313" i="29"/>
  <c r="N322"/>
  <c r="M322"/>
  <c r="L322"/>
  <c r="L364" s="1"/>
  <c r="K322"/>
  <c r="H133" i="45"/>
  <c r="H138" s="1"/>
  <c r="H139" s="1"/>
  <c r="H211" s="1"/>
  <c r="H253" s="1"/>
  <c r="H134" i="47"/>
  <c r="H139" s="1"/>
  <c r="H133" i="46"/>
  <c r="H138" s="1"/>
  <c r="H139" s="1"/>
  <c r="H195" i="35"/>
  <c r="H200" s="1"/>
  <c r="F139" i="45"/>
  <c r="F211" s="1"/>
  <c r="F253" s="1"/>
  <c r="F139" i="46"/>
  <c r="F140" i="47"/>
  <c r="R134"/>
  <c r="R139" s="1"/>
  <c r="R133" i="46"/>
  <c r="R138" s="1"/>
  <c r="R133" i="45"/>
  <c r="R138" s="1"/>
  <c r="F133" i="44"/>
  <c r="I134" i="47"/>
  <c r="I139" s="1"/>
  <c r="I133" i="45"/>
  <c r="I138" s="1"/>
  <c r="I133" i="46"/>
  <c r="I138" s="1"/>
  <c r="G92" i="34"/>
  <c r="G126" s="1"/>
  <c r="AG19" i="29"/>
  <c r="P24"/>
  <c r="P190" s="1"/>
  <c r="P192" s="1"/>
  <c r="L44"/>
  <c r="L213" s="1"/>
  <c r="L219" s="1"/>
  <c r="L319" s="1"/>
  <c r="M44"/>
  <c r="M213" s="1"/>
  <c r="N44"/>
  <c r="N213" s="1"/>
  <c r="N219" s="1"/>
  <c r="N319" s="1"/>
  <c r="I242" i="35"/>
  <c r="O193"/>
  <c r="O194"/>
  <c r="O199" s="1"/>
  <c r="I183"/>
  <c r="I270" s="1"/>
  <c r="I312" s="1"/>
  <c r="H230" i="29"/>
  <c r="H235" s="1"/>
  <c r="H194" i="35"/>
  <c r="H85" i="34"/>
  <c r="H90" s="1"/>
  <c r="K44" i="29"/>
  <c r="K213" s="1"/>
  <c r="K219" s="1"/>
  <c r="K319" s="1"/>
  <c r="J44"/>
  <c r="J213" s="1"/>
  <c r="J219" s="1"/>
  <c r="J319" s="1"/>
  <c r="O239" i="35"/>
  <c r="O240" s="1"/>
  <c r="O241"/>
  <c r="O242" s="1"/>
  <c r="O174"/>
  <c r="O195"/>
  <c r="O200" s="1"/>
  <c r="O237"/>
  <c r="O238" s="1"/>
  <c r="I200"/>
  <c r="I186"/>
  <c r="F201"/>
  <c r="J288" i="29"/>
  <c r="J296" s="1"/>
  <c r="J304" s="1"/>
  <c r="I240" i="35"/>
  <c r="I238"/>
  <c r="I219" i="29"/>
  <c r="I319" s="1"/>
  <c r="I266"/>
  <c r="N260"/>
  <c r="P279"/>
  <c r="O303"/>
  <c r="P277"/>
  <c r="O299"/>
  <c r="I71"/>
  <c r="AD70"/>
  <c r="I234"/>
  <c r="I270"/>
  <c r="N132"/>
  <c r="N316" s="1"/>
  <c r="I233"/>
  <c r="I221"/>
  <c r="I268"/>
  <c r="I78"/>
  <c r="AD77"/>
  <c r="O109"/>
  <c r="O125" s="1"/>
  <c r="O132" s="1"/>
  <c r="O316" s="1"/>
  <c r="O259"/>
  <c r="O260" s="1"/>
  <c r="O261"/>
  <c r="O242"/>
  <c r="O321" s="1"/>
  <c r="P111"/>
  <c r="P126" s="1"/>
  <c r="P255"/>
  <c r="P253"/>
  <c r="P25"/>
  <c r="P112" s="1"/>
  <c r="P131" s="1"/>
  <c r="M42" i="31"/>
  <c r="M40"/>
  <c r="P34" i="29" s="1"/>
  <c r="M43" i="31"/>
  <c r="N111"/>
  <c r="N20" s="1"/>
  <c r="Q23" i="29" s="1"/>
  <c r="N112" i="31"/>
  <c r="N21" s="1"/>
  <c r="N114"/>
  <c r="N23" s="1"/>
  <c r="Q26" i="29" s="1"/>
  <c r="Q195" s="1"/>
  <c r="Q197" s="1"/>
  <c r="N108" i="31"/>
  <c r="N17" s="1"/>
  <c r="Q20" i="29" s="1"/>
  <c r="Q108" s="1"/>
  <c r="Q124" s="1"/>
  <c r="N113" i="31"/>
  <c r="N22" s="1"/>
  <c r="N109"/>
  <c r="N18" s="1"/>
  <c r="N110"/>
  <c r="N19" s="1"/>
  <c r="Q22" i="29" s="1"/>
  <c r="Q110" s="1"/>
  <c r="P21"/>
  <c r="M41" i="31"/>
  <c r="P35" i="29" s="1"/>
  <c r="O106" i="31"/>
  <c r="P105"/>
  <c r="L35"/>
  <c r="L36" s="1"/>
  <c r="O36" i="29"/>
  <c r="L44" i="31"/>
  <c r="O37" i="29"/>
  <c r="J272"/>
  <c r="K256"/>
  <c r="K254"/>
  <c r="L254"/>
  <c r="L256"/>
  <c r="I231"/>
  <c r="I236" s="1"/>
  <c r="I86" i="34"/>
  <c r="I91" s="1"/>
  <c r="H231" i="29"/>
  <c r="H236" s="1"/>
  <c r="H86" i="34"/>
  <c r="H91" s="1"/>
  <c r="P88"/>
  <c r="M219" i="29"/>
  <c r="M319" s="1"/>
  <c r="D139"/>
  <c r="Q84" i="34"/>
  <c r="Q86"/>
  <c r="Q91" s="1"/>
  <c r="Q85"/>
  <c r="Q90" s="1"/>
  <c r="Q72"/>
  <c r="Q74" s="1"/>
  <c r="P76"/>
  <c r="P77" s="1"/>
  <c r="G14" i="10"/>
  <c r="Q14"/>
  <c r="H21"/>
  <c r="H4"/>
  <c r="Q21"/>
  <c r="Q4"/>
  <c r="H9"/>
  <c r="J343" i="29" l="1"/>
  <c r="G211" i="46"/>
  <c r="C89" i="24" s="1"/>
  <c r="G229" i="46"/>
  <c r="G232" s="1"/>
  <c r="G234" s="1"/>
  <c r="F254" i="45"/>
  <c r="F233"/>
  <c r="D233" s="1"/>
  <c r="D18" i="24" s="1"/>
  <c r="F250" i="47"/>
  <c r="F229"/>
  <c r="D229" s="1"/>
  <c r="B18" i="24" s="1"/>
  <c r="F314" i="35"/>
  <c r="D314" s="1"/>
  <c r="G39" i="24" s="1"/>
  <c r="F293" i="35"/>
  <c r="D293" s="1"/>
  <c r="G18" i="24" s="1"/>
  <c r="F251" i="46"/>
  <c r="F230"/>
  <c r="D230" s="1"/>
  <c r="E18" i="24" s="1"/>
  <c r="D171" i="34"/>
  <c r="H18" i="24" s="1"/>
  <c r="D192" i="34"/>
  <c r="H39" i="24" s="1"/>
  <c r="S132" i="46"/>
  <c r="S137" s="1"/>
  <c r="S132" i="45"/>
  <c r="S137" s="1"/>
  <c r="S133" i="47"/>
  <c r="S138" s="1"/>
  <c r="P169" i="34"/>
  <c r="P190"/>
  <c r="L343" i="29"/>
  <c r="N294" i="35"/>
  <c r="F154" i="34"/>
  <c r="B95" i="24"/>
  <c r="G232" i="45"/>
  <c r="L294" i="35"/>
  <c r="I273"/>
  <c r="I315" s="1"/>
  <c r="I244"/>
  <c r="O170" i="34"/>
  <c r="O191"/>
  <c r="O194" s="1"/>
  <c r="O196" s="1"/>
  <c r="I132" i="45"/>
  <c r="I132" i="46"/>
  <c r="I137" s="1"/>
  <c r="I139" s="1"/>
  <c r="I208" s="1"/>
  <c r="I133" i="47"/>
  <c r="I138" s="1"/>
  <c r="I140" s="1"/>
  <c r="O273" i="35"/>
  <c r="O315" s="1"/>
  <c r="O244"/>
  <c r="H34" i="24"/>
  <c r="H138" i="47"/>
  <c r="P92" i="34"/>
  <c r="P126" s="1"/>
  <c r="L313" i="29"/>
  <c r="L355" s="1"/>
  <c r="L356" s="1"/>
  <c r="P353"/>
  <c r="P352"/>
  <c r="P354"/>
  <c r="K313"/>
  <c r="K355" s="1"/>
  <c r="K356" s="1"/>
  <c r="N337"/>
  <c r="N358"/>
  <c r="K340"/>
  <c r="K361"/>
  <c r="J340"/>
  <c r="J361"/>
  <c r="K343"/>
  <c r="K364"/>
  <c r="J334"/>
  <c r="J335" s="1"/>
  <c r="J355"/>
  <c r="J356" s="1"/>
  <c r="O342"/>
  <c r="O363"/>
  <c r="O337"/>
  <c r="O358"/>
  <c r="L340"/>
  <c r="L361"/>
  <c r="N343"/>
  <c r="N364"/>
  <c r="N340"/>
  <c r="N361"/>
  <c r="I340"/>
  <c r="I361"/>
  <c r="M340"/>
  <c r="M361"/>
  <c r="M343"/>
  <c r="M364"/>
  <c r="I334"/>
  <c r="I335" s="1"/>
  <c r="I355"/>
  <c r="G213" i="46"/>
  <c r="F208"/>
  <c r="F250" s="1"/>
  <c r="H208"/>
  <c r="H250" s="1"/>
  <c r="H186"/>
  <c r="G207" i="47"/>
  <c r="G210" s="1"/>
  <c r="G186"/>
  <c r="G190" s="1"/>
  <c r="F207"/>
  <c r="F249" s="1"/>
  <c r="F186"/>
  <c r="O126" i="34"/>
  <c r="F155"/>
  <c r="Q148"/>
  <c r="I294" i="35"/>
  <c r="O294"/>
  <c r="I291"/>
  <c r="F204" i="44"/>
  <c r="F246" s="1"/>
  <c r="H140" i="47"/>
  <c r="H232" i="45"/>
  <c r="F232"/>
  <c r="I314" i="29"/>
  <c r="E84" i="24" s="1"/>
  <c r="H237" i="29"/>
  <c r="H320" s="1"/>
  <c r="O130" i="45"/>
  <c r="O124" i="44"/>
  <c r="O130" i="46"/>
  <c r="O131" i="47"/>
  <c r="P332" i="29"/>
  <c r="P331"/>
  <c r="P333"/>
  <c r="AD78"/>
  <c r="AD71"/>
  <c r="I316"/>
  <c r="P149" i="34"/>
  <c r="P191" s="1"/>
  <c r="G149"/>
  <c r="O173"/>
  <c r="O175" s="1"/>
  <c r="O152"/>
  <c r="P152"/>
  <c r="Q89"/>
  <c r="P164"/>
  <c r="J314" i="29"/>
  <c r="F84" i="24" s="1"/>
  <c r="L314" i="29"/>
  <c r="H84" i="24" s="1"/>
  <c r="K334" i="29"/>
  <c r="K335" s="1"/>
  <c r="I322"/>
  <c r="J133" i="46"/>
  <c r="J134" i="47"/>
  <c r="J139" s="1"/>
  <c r="J133" i="45"/>
  <c r="J138" s="1"/>
  <c r="J195" i="35"/>
  <c r="J200" s="1"/>
  <c r="S133" i="45"/>
  <c r="S138" s="1"/>
  <c r="S134" i="47"/>
  <c r="S139" s="1"/>
  <c r="S133" i="46"/>
  <c r="S138" s="1"/>
  <c r="H92" i="34"/>
  <c r="H126" s="1"/>
  <c r="J300" i="29"/>
  <c r="Q24"/>
  <c r="Q190" s="1"/>
  <c r="Q192" s="1"/>
  <c r="K288"/>
  <c r="K296" s="1"/>
  <c r="K300" s="1"/>
  <c r="P193" i="35"/>
  <c r="P198" s="1"/>
  <c r="P194"/>
  <c r="P199" s="1"/>
  <c r="O192"/>
  <c r="O198"/>
  <c r="P237"/>
  <c r="P238" s="1"/>
  <c r="P239"/>
  <c r="P240" s="1"/>
  <c r="P241"/>
  <c r="P242" s="1"/>
  <c r="P174"/>
  <c r="P195"/>
  <c r="I230" i="29"/>
  <c r="I235" s="1"/>
  <c r="I237" s="1"/>
  <c r="I194" i="35"/>
  <c r="I199" s="1"/>
  <c r="I201" s="1"/>
  <c r="I85" i="34"/>
  <c r="I90" s="1"/>
  <c r="O38" i="29"/>
  <c r="O221" s="1"/>
  <c r="O222" s="1"/>
  <c r="H199" i="35"/>
  <c r="I272" i="29"/>
  <c r="D143"/>
  <c r="J143" s="1"/>
  <c r="D144"/>
  <c r="D198" s="1"/>
  <c r="J198" s="1"/>
  <c r="I222"/>
  <c r="I288"/>
  <c r="I296" s="1"/>
  <c r="O262"/>
  <c r="Q277"/>
  <c r="P299"/>
  <c r="Q279"/>
  <c r="P303"/>
  <c r="L288"/>
  <c r="L296" s="1"/>
  <c r="O230"/>
  <c r="O235" s="1"/>
  <c r="O229"/>
  <c r="O228"/>
  <c r="Q21"/>
  <c r="N41" i="31"/>
  <c r="Q35" i="29" s="1"/>
  <c r="P36"/>
  <c r="M35" i="31"/>
  <c r="M36" s="1"/>
  <c r="O114"/>
  <c r="O23" s="1"/>
  <c r="R26" i="29" s="1"/>
  <c r="R195" s="1"/>
  <c r="R197" s="1"/>
  <c r="O109" i="31"/>
  <c r="O18" s="1"/>
  <c r="O113"/>
  <c r="O22" s="1"/>
  <c r="O110"/>
  <c r="O19" s="1"/>
  <c r="R22" i="29" s="1"/>
  <c r="R110" s="1"/>
  <c r="O111" i="31"/>
  <c r="O20" s="1"/>
  <c r="R23" i="29" s="1"/>
  <c r="O112" i="31"/>
  <c r="O21" s="1"/>
  <c r="O108"/>
  <c r="O17" s="1"/>
  <c r="R20" i="29" s="1"/>
  <c r="R108" s="1"/>
  <c r="R124" s="1"/>
  <c r="O269"/>
  <c r="O267"/>
  <c r="O265"/>
  <c r="O231"/>
  <c r="O236" s="1"/>
  <c r="O210"/>
  <c r="P106" i="31"/>
  <c r="Q105"/>
  <c r="M44"/>
  <c r="P37" i="29"/>
  <c r="O43"/>
  <c r="P259"/>
  <c r="P260" s="1"/>
  <c r="P109"/>
  <c r="P125" s="1"/>
  <c r="P132" s="1"/>
  <c r="P316" s="1"/>
  <c r="P261"/>
  <c r="P262" s="1"/>
  <c r="P242"/>
  <c r="P321" s="1"/>
  <c r="Q25"/>
  <c r="Q112" s="1"/>
  <c r="Q131" s="1"/>
  <c r="N43" i="31"/>
  <c r="N40"/>
  <c r="Q34" i="29" s="1"/>
  <c r="N42" i="31"/>
  <c r="Q111" i="29"/>
  <c r="Q126" s="1"/>
  <c r="Q255"/>
  <c r="Q253"/>
  <c r="L272"/>
  <c r="K272"/>
  <c r="N254"/>
  <c r="M256"/>
  <c r="N256"/>
  <c r="M254"/>
  <c r="D142"/>
  <c r="J231"/>
  <c r="J236" s="1"/>
  <c r="J86" i="34"/>
  <c r="J91" s="1"/>
  <c r="D141" i="29"/>
  <c r="H141" s="1"/>
  <c r="D140"/>
  <c r="D193" s="1"/>
  <c r="Q88" i="34"/>
  <c r="Q92" s="1"/>
  <c r="R86"/>
  <c r="R91" s="1"/>
  <c r="R84"/>
  <c r="R72"/>
  <c r="R74" s="1"/>
  <c r="R85"/>
  <c r="R90" s="1"/>
  <c r="Q76"/>
  <c r="Q77" s="1"/>
  <c r="H14" i="10"/>
  <c r="R14"/>
  <c r="R4"/>
  <c r="R21"/>
  <c r="I4"/>
  <c r="I21"/>
  <c r="I9"/>
  <c r="K314" i="29" l="1"/>
  <c r="G84" i="24" s="1"/>
  <c r="L334" i="29"/>
  <c r="L335" s="1"/>
  <c r="K143"/>
  <c r="T132" i="46"/>
  <c r="T137" s="1"/>
  <c r="T132" i="45"/>
  <c r="T137" s="1"/>
  <c r="T133" i="47"/>
  <c r="T138" s="1"/>
  <c r="J132" i="45"/>
  <c r="J137" s="1"/>
  <c r="J139" s="1"/>
  <c r="J211" s="1"/>
  <c r="J132" i="46"/>
  <c r="J133" i="47"/>
  <c r="J138" s="1"/>
  <c r="O154" i="34"/>
  <c r="O155" s="1"/>
  <c r="K95" i="24"/>
  <c r="F143" i="29"/>
  <c r="G188" i="47"/>
  <c r="F229" i="46"/>
  <c r="P154" i="34"/>
  <c r="P155" s="1"/>
  <c r="L95" i="24"/>
  <c r="P244" i="35"/>
  <c r="P273"/>
  <c r="P315" s="1"/>
  <c r="G170" i="34"/>
  <c r="G191"/>
  <c r="I137" i="45"/>
  <c r="H143" i="29"/>
  <c r="Q169" i="34"/>
  <c r="Q190"/>
  <c r="P194"/>
  <c r="P196" s="1"/>
  <c r="I143" i="29"/>
  <c r="N143"/>
  <c r="I186" i="46"/>
  <c r="I250"/>
  <c r="I211"/>
  <c r="E89" i="24" s="1"/>
  <c r="R193" i="29"/>
  <c r="H211" i="46"/>
  <c r="H213" s="1"/>
  <c r="Q353" i="29"/>
  <c r="Q352"/>
  <c r="Q354"/>
  <c r="H229" i="46"/>
  <c r="H232" s="1"/>
  <c r="I229"/>
  <c r="I232" s="1"/>
  <c r="I234" s="1"/>
  <c r="I356" i="29"/>
  <c r="P342"/>
  <c r="P363"/>
  <c r="I343"/>
  <c r="I364"/>
  <c r="H341"/>
  <c r="H362"/>
  <c r="I320"/>
  <c r="AG18"/>
  <c r="P337"/>
  <c r="P358"/>
  <c r="I337"/>
  <c r="I358"/>
  <c r="G228" i="47"/>
  <c r="G231" s="1"/>
  <c r="G233" s="1"/>
  <c r="G249"/>
  <c r="G212"/>
  <c r="C83" i="24"/>
  <c r="H186" i="47"/>
  <c r="H188" s="1"/>
  <c r="H207"/>
  <c r="F228"/>
  <c r="F231" s="1"/>
  <c r="F233" s="1"/>
  <c r="F210"/>
  <c r="I207"/>
  <c r="I186"/>
  <c r="I188" s="1"/>
  <c r="Q126" i="34"/>
  <c r="P170"/>
  <c r="P173" s="1"/>
  <c r="P175" s="1"/>
  <c r="R148"/>
  <c r="I271" i="35"/>
  <c r="I313" s="1"/>
  <c r="I316" s="1"/>
  <c r="I318" s="1"/>
  <c r="F225" i="44"/>
  <c r="J140" i="47"/>
  <c r="P143" i="29"/>
  <c r="Q331"/>
  <c r="Q333"/>
  <c r="Q332"/>
  <c r="O135" i="45"/>
  <c r="L143" i="29"/>
  <c r="O143"/>
  <c r="O129" i="44"/>
  <c r="P131" i="47"/>
  <c r="P136" s="1"/>
  <c r="P140" s="1"/>
  <c r="P130" i="45"/>
  <c r="P135" s="1"/>
  <c r="P139" s="1"/>
  <c r="P211" s="1"/>
  <c r="P253" s="1"/>
  <c r="P124" i="44"/>
  <c r="P129" s="1"/>
  <c r="P130" i="46"/>
  <c r="P135" s="1"/>
  <c r="P139" s="1"/>
  <c r="O135"/>
  <c r="M143" i="29"/>
  <c r="G143"/>
  <c r="R142"/>
  <c r="O136" i="47"/>
  <c r="Q149" i="34"/>
  <c r="H149"/>
  <c r="G152"/>
  <c r="R89"/>
  <c r="Q164"/>
  <c r="I92"/>
  <c r="I126" s="1"/>
  <c r="M313" i="29"/>
  <c r="M355" s="1"/>
  <c r="M356" s="1"/>
  <c r="N313"/>
  <c r="T133" i="45"/>
  <c r="T138" s="1"/>
  <c r="T134" i="47"/>
  <c r="T139" s="1"/>
  <c r="T133" i="46"/>
  <c r="T138" s="1"/>
  <c r="J138"/>
  <c r="K133" i="45"/>
  <c r="K133" i="46"/>
  <c r="K138" s="1"/>
  <c r="K134" i="47"/>
  <c r="K195" i="35"/>
  <c r="K200" s="1"/>
  <c r="F188" i="47"/>
  <c r="F190"/>
  <c r="I248" i="35"/>
  <c r="I252" s="1"/>
  <c r="R24" i="29"/>
  <c r="R190" s="1"/>
  <c r="R192" s="1"/>
  <c r="K304"/>
  <c r="M288"/>
  <c r="M296" s="1"/>
  <c r="P192" i="35"/>
  <c r="P197" s="1"/>
  <c r="Q193"/>
  <c r="Q194"/>
  <c r="Q199" s="1"/>
  <c r="O44" i="29"/>
  <c r="O213" s="1"/>
  <c r="O219" s="1"/>
  <c r="O319" s="1"/>
  <c r="H201" i="35"/>
  <c r="P200"/>
  <c r="Q143" i="29"/>
  <c r="Q241" i="35"/>
  <c r="Q174"/>
  <c r="Q239"/>
  <c r="Q240" s="1"/>
  <c r="Q195"/>
  <c r="Q200" s="1"/>
  <c r="Q237"/>
  <c r="P38" i="29"/>
  <c r="P221" s="1"/>
  <c r="P222" s="1"/>
  <c r="J230"/>
  <c r="J235" s="1"/>
  <c r="J237" s="1"/>
  <c r="J320" s="1"/>
  <c r="J362" s="1"/>
  <c r="J194" i="35"/>
  <c r="J85" i="34"/>
  <c r="J90" s="1"/>
  <c r="O197" i="35"/>
  <c r="G144" i="29"/>
  <c r="O268"/>
  <c r="I304"/>
  <c r="I300"/>
  <c r="O266"/>
  <c r="R279"/>
  <c r="Q303"/>
  <c r="O234"/>
  <c r="O270"/>
  <c r="O233"/>
  <c r="L304"/>
  <c r="L300"/>
  <c r="R277"/>
  <c r="Q299"/>
  <c r="L198"/>
  <c r="N288"/>
  <c r="N35" i="31"/>
  <c r="N36" s="1"/>
  <c r="Q36" i="29"/>
  <c r="Q106" i="31"/>
  <c r="R105"/>
  <c r="O41"/>
  <c r="R35" i="29" s="1"/>
  <c r="R21"/>
  <c r="O43" i="31"/>
  <c r="O42"/>
  <c r="R25" i="29"/>
  <c r="R112" s="1"/>
  <c r="R131" s="1"/>
  <c r="O40" i="31"/>
  <c r="R34" i="29" s="1"/>
  <c r="P229"/>
  <c r="P234" s="1"/>
  <c r="P230"/>
  <c r="P235" s="1"/>
  <c r="P228"/>
  <c r="P233" s="1"/>
  <c r="N44" i="31"/>
  <c r="Q37" i="29"/>
  <c r="P269"/>
  <c r="P270" s="1"/>
  <c r="P231"/>
  <c r="P236" s="1"/>
  <c r="P210"/>
  <c r="P267"/>
  <c r="P268" s="1"/>
  <c r="P265"/>
  <c r="P266" s="1"/>
  <c r="P43"/>
  <c r="P108" i="31"/>
  <c r="P17" s="1"/>
  <c r="S20" i="29" s="1"/>
  <c r="S108" s="1"/>
  <c r="S124" s="1"/>
  <c r="P113" i="31"/>
  <c r="P22" s="1"/>
  <c r="P114"/>
  <c r="P23" s="1"/>
  <c r="S26" i="29" s="1"/>
  <c r="S195" s="1"/>
  <c r="S197" s="1"/>
  <c r="P112" i="31"/>
  <c r="P21" s="1"/>
  <c r="P110"/>
  <c r="P19" s="1"/>
  <c r="S22" i="29" s="1"/>
  <c r="S110" s="1"/>
  <c r="S142" s="1"/>
  <c r="P111" i="31"/>
  <c r="P20" s="1"/>
  <c r="S23" i="29" s="1"/>
  <c r="P109" i="31"/>
  <c r="P18" s="1"/>
  <c r="R255" i="29"/>
  <c r="R111"/>
  <c r="R253"/>
  <c r="Q109"/>
  <c r="Q125" s="1"/>
  <c r="Q132" s="1"/>
  <c r="Q316" s="1"/>
  <c r="Q259"/>
  <c r="Q260" s="1"/>
  <c r="Q261"/>
  <c r="Q262" s="1"/>
  <c r="Q242"/>
  <c r="Q321" s="1"/>
  <c r="M272"/>
  <c r="N272"/>
  <c r="O256"/>
  <c r="O254"/>
  <c r="P256"/>
  <c r="P254"/>
  <c r="P144"/>
  <c r="O198"/>
  <c r="M144"/>
  <c r="J144"/>
  <c r="N198"/>
  <c r="Q142"/>
  <c r="F198"/>
  <c r="F144"/>
  <c r="I144"/>
  <c r="L144"/>
  <c r="P198"/>
  <c r="I198"/>
  <c r="O144"/>
  <c r="H144"/>
  <c r="Q198"/>
  <c r="K198"/>
  <c r="G198"/>
  <c r="K144"/>
  <c r="N144"/>
  <c r="Q144"/>
  <c r="M198"/>
  <c r="H198"/>
  <c r="N142"/>
  <c r="K142"/>
  <c r="H142"/>
  <c r="F142"/>
  <c r="G142"/>
  <c r="J142"/>
  <c r="M142"/>
  <c r="P142"/>
  <c r="I142"/>
  <c r="L142"/>
  <c r="O142"/>
  <c r="M193"/>
  <c r="K231"/>
  <c r="K236" s="1"/>
  <c r="K86" i="34"/>
  <c r="K91" s="1"/>
  <c r="N141" i="29"/>
  <c r="K141"/>
  <c r="G141"/>
  <c r="J141"/>
  <c r="M141"/>
  <c r="P141"/>
  <c r="L140"/>
  <c r="F141"/>
  <c r="I141"/>
  <c r="L141"/>
  <c r="I140"/>
  <c r="O141"/>
  <c r="J140"/>
  <c r="Q140"/>
  <c r="K140"/>
  <c r="G193"/>
  <c r="M140"/>
  <c r="P140"/>
  <c r="L193"/>
  <c r="J193"/>
  <c r="J206" s="1"/>
  <c r="J318" s="1"/>
  <c r="N140"/>
  <c r="H140"/>
  <c r="O140"/>
  <c r="O193"/>
  <c r="P193"/>
  <c r="H193"/>
  <c r="K193"/>
  <c r="R140"/>
  <c r="F140"/>
  <c r="G140"/>
  <c r="F193"/>
  <c r="Q193"/>
  <c r="I193"/>
  <c r="N193"/>
  <c r="R88" i="34"/>
  <c r="R76"/>
  <c r="R77" s="1"/>
  <c r="S86"/>
  <c r="S91" s="1"/>
  <c r="S85"/>
  <c r="S90" s="1"/>
  <c r="S72"/>
  <c r="S74" s="1"/>
  <c r="S84"/>
  <c r="I14" i="10"/>
  <c r="S14"/>
  <c r="B84" i="9"/>
  <c r="S21" i="10"/>
  <c r="J9"/>
  <c r="J21"/>
  <c r="J4"/>
  <c r="S4"/>
  <c r="G213" i="47" l="1"/>
  <c r="H234" i="46"/>
  <c r="D233"/>
  <c r="E21" i="24" s="1"/>
  <c r="I213" i="46"/>
  <c r="D89" i="24"/>
  <c r="J253" i="45"/>
  <c r="J232"/>
  <c r="H170" i="34"/>
  <c r="H191"/>
  <c r="H194" s="1"/>
  <c r="H196" s="1"/>
  <c r="G154"/>
  <c r="C95" i="24"/>
  <c r="R169" i="34"/>
  <c r="R190"/>
  <c r="G194"/>
  <c r="G196" s="1"/>
  <c r="K132" i="45"/>
  <c r="K137" s="1"/>
  <c r="K132" i="46"/>
  <c r="K137" s="1"/>
  <c r="K139" s="1"/>
  <c r="K186" s="1"/>
  <c r="K133" i="47"/>
  <c r="I139" i="45"/>
  <c r="I211" s="1"/>
  <c r="P294" i="35"/>
  <c r="U132" i="45"/>
  <c r="U137" s="1"/>
  <c r="U132" i="46"/>
  <c r="U137" s="1"/>
  <c r="U133" i="47"/>
  <c r="U138" s="1"/>
  <c r="Q170" i="34"/>
  <c r="Q173" s="1"/>
  <c r="Q175" s="1"/>
  <c r="Q191"/>
  <c r="Q194" s="1"/>
  <c r="Q196" s="1"/>
  <c r="J137" i="46"/>
  <c r="J139" s="1"/>
  <c r="R353" i="29"/>
  <c r="R352"/>
  <c r="R354"/>
  <c r="O322"/>
  <c r="O364" s="1"/>
  <c r="M314"/>
  <c r="I84" i="24" s="1"/>
  <c r="M334" i="29"/>
  <c r="M335" s="1"/>
  <c r="Q337"/>
  <c r="Q358"/>
  <c r="O340"/>
  <c r="O361"/>
  <c r="J339"/>
  <c r="J360"/>
  <c r="Q342"/>
  <c r="Q363"/>
  <c r="N314"/>
  <c r="J84" i="24" s="1"/>
  <c r="N355" i="29"/>
  <c r="N356" s="1"/>
  <c r="I341"/>
  <c r="I362"/>
  <c r="I210" i="47"/>
  <c r="I249"/>
  <c r="H210"/>
  <c r="H249"/>
  <c r="F212"/>
  <c r="B83" i="24"/>
  <c r="I228" i="47"/>
  <c r="I231" s="1"/>
  <c r="I233" s="1"/>
  <c r="H228"/>
  <c r="H231" s="1"/>
  <c r="H233" s="1"/>
  <c r="P208" i="46"/>
  <c r="P186"/>
  <c r="H190" i="47"/>
  <c r="P186"/>
  <c r="P207"/>
  <c r="P249" s="1"/>
  <c r="J207"/>
  <c r="J228" s="1"/>
  <c r="J231" s="1"/>
  <c r="J233" s="1"/>
  <c r="J186"/>
  <c r="J190" s="1"/>
  <c r="R92" i="34"/>
  <c r="R126" s="1"/>
  <c r="S148"/>
  <c r="I292" i="35"/>
  <c r="I295" s="1"/>
  <c r="I297" s="1"/>
  <c r="I274"/>
  <c r="I190" i="47"/>
  <c r="P229" i="46"/>
  <c r="P232" s="1"/>
  <c r="P234" s="1"/>
  <c r="P232" i="45"/>
  <c r="Q141" i="29"/>
  <c r="Q145" s="1"/>
  <c r="Q317" s="1"/>
  <c r="S140"/>
  <c r="N334"/>
  <c r="N335" s="1"/>
  <c r="O140" i="47"/>
  <c r="O139" i="45"/>
  <c r="O211" s="1"/>
  <c r="O253" s="1"/>
  <c r="Q130" i="46"/>
  <c r="Q131" i="47"/>
  <c r="Q130" i="45"/>
  <c r="Q135" s="1"/>
  <c r="Q139" s="1"/>
  <c r="Q211" s="1"/>
  <c r="Q253" s="1"/>
  <c r="Q124" i="44"/>
  <c r="Q129" s="1"/>
  <c r="O139" i="46"/>
  <c r="L206" i="29"/>
  <c r="L318" s="1"/>
  <c r="R332"/>
  <c r="R333"/>
  <c r="R331"/>
  <c r="Q152" i="34"/>
  <c r="I149"/>
  <c r="H173"/>
  <c r="H175" s="1"/>
  <c r="H152"/>
  <c r="G173"/>
  <c r="G175" s="1"/>
  <c r="J92"/>
  <c r="J126" s="1"/>
  <c r="R164"/>
  <c r="S89"/>
  <c r="J341" i="29"/>
  <c r="O313"/>
  <c r="P313"/>
  <c r="P322"/>
  <c r="L134" i="47"/>
  <c r="L139" s="1"/>
  <c r="L133" i="46"/>
  <c r="L138" s="1"/>
  <c r="L133" i="45"/>
  <c r="L138" s="1"/>
  <c r="L195" i="35"/>
  <c r="L200" s="1"/>
  <c r="K138" i="45"/>
  <c r="U134" i="47"/>
  <c r="U139" s="1"/>
  <c r="U133" i="45"/>
  <c r="U138" s="1"/>
  <c r="U133" i="46"/>
  <c r="U138" s="1"/>
  <c r="K139" i="47"/>
  <c r="S193" i="29"/>
  <c r="R198"/>
  <c r="R206" s="1"/>
  <c r="R318" s="1"/>
  <c r="S24"/>
  <c r="S190" s="1"/>
  <c r="S192" s="1"/>
  <c r="I250" i="35"/>
  <c r="P44" i="29"/>
  <c r="P213" s="1"/>
  <c r="P219" s="1"/>
  <c r="P319" s="1"/>
  <c r="R193" i="35"/>
  <c r="R198" s="1"/>
  <c r="R194"/>
  <c r="R199" s="1"/>
  <c r="Q206" i="29"/>
  <c r="Q318" s="1"/>
  <c r="O206"/>
  <c r="O318" s="1"/>
  <c r="G206"/>
  <c r="G318" s="1"/>
  <c r="J199" i="35"/>
  <c r="Q238"/>
  <c r="Q242"/>
  <c r="Q38" i="29"/>
  <c r="Q221" s="1"/>
  <c r="Q222" s="1"/>
  <c r="Q192" i="35"/>
  <c r="P201"/>
  <c r="K230" i="29"/>
  <c r="K235" s="1"/>
  <c r="K237" s="1"/>
  <c r="K320" s="1"/>
  <c r="K362" s="1"/>
  <c r="K194" i="35"/>
  <c r="K199" s="1"/>
  <c r="K201" s="1"/>
  <c r="K85" i="34"/>
  <c r="K90" s="1"/>
  <c r="R174" i="35"/>
  <c r="R195"/>
  <c r="R200" s="1"/>
  <c r="R237"/>
  <c r="R238" s="1"/>
  <c r="R239"/>
  <c r="R241"/>
  <c r="R242" s="1"/>
  <c r="Q198"/>
  <c r="R144" i="29"/>
  <c r="O201" i="35"/>
  <c r="S279" i="29"/>
  <c r="R303"/>
  <c r="O288"/>
  <c r="O296" s="1"/>
  <c r="M304"/>
  <c r="M300"/>
  <c r="S277"/>
  <c r="R299"/>
  <c r="P288"/>
  <c r="P296" s="1"/>
  <c r="O237"/>
  <c r="O320" s="1"/>
  <c r="N296"/>
  <c r="O145"/>
  <c r="O317" s="1"/>
  <c r="R126"/>
  <c r="R143"/>
  <c r="Q43"/>
  <c r="P237"/>
  <c r="P320" s="1"/>
  <c r="S253"/>
  <c r="S255"/>
  <c r="S111"/>
  <c r="P42" i="31"/>
  <c r="S25" i="29"/>
  <c r="S112" s="1"/>
  <c r="P40" i="31"/>
  <c r="S34" i="29" s="1"/>
  <c r="P43" i="31"/>
  <c r="R109" i="29"/>
  <c r="R259"/>
  <c r="R260" s="1"/>
  <c r="R261"/>
  <c r="R262" s="1"/>
  <c r="R242"/>
  <c r="R321" s="1"/>
  <c r="Q230"/>
  <c r="Q235" s="1"/>
  <c r="Q228"/>
  <c r="Q233" s="1"/>
  <c r="Q229"/>
  <c r="Q234" s="1"/>
  <c r="P41" i="31"/>
  <c r="S35" i="29" s="1"/>
  <c r="S21"/>
  <c r="O44" i="31"/>
  <c r="R37" i="29"/>
  <c r="Q110" i="31"/>
  <c r="Q19" s="1"/>
  <c r="T22" i="29" s="1"/>
  <c r="T110" s="1"/>
  <c r="T142" s="1"/>
  <c r="Q111" i="31"/>
  <c r="Q20" s="1"/>
  <c r="T23" i="29" s="1"/>
  <c r="Q114" i="31"/>
  <c r="Q23" s="1"/>
  <c r="T26" i="29" s="1"/>
  <c r="T195" s="1"/>
  <c r="Q112" i="31"/>
  <c r="Q21" s="1"/>
  <c r="Q113"/>
  <c r="Q22" s="1"/>
  <c r="Q108"/>
  <c r="Q17" s="1"/>
  <c r="T20" i="29" s="1"/>
  <c r="T108" s="1"/>
  <c r="T124" s="1"/>
  <c r="Q109" i="31"/>
  <c r="Q18" s="1"/>
  <c r="Q269" i="29"/>
  <c r="Q270" s="1"/>
  <c r="Q265"/>
  <c r="Q266" s="1"/>
  <c r="Q231"/>
  <c r="Q236" s="1"/>
  <c r="Q267"/>
  <c r="Q268" s="1"/>
  <c r="Q210"/>
  <c r="R36"/>
  <c r="O35" i="31"/>
  <c r="O36" s="1"/>
  <c r="S105"/>
  <c r="R106"/>
  <c r="K206" i="29"/>
  <c r="K318" s="1"/>
  <c r="O272"/>
  <c r="P272"/>
  <c r="R254"/>
  <c r="Q254"/>
  <c r="R256"/>
  <c r="N206"/>
  <c r="N318" s="1"/>
  <c r="H206"/>
  <c r="H318" s="1"/>
  <c r="M206"/>
  <c r="M318" s="1"/>
  <c r="Q256"/>
  <c r="I206"/>
  <c r="I318" s="1"/>
  <c r="P206"/>
  <c r="P318" s="1"/>
  <c r="F206"/>
  <c r="F318" s="1"/>
  <c r="H145"/>
  <c r="H317" s="1"/>
  <c r="H359" s="1"/>
  <c r="F145"/>
  <c r="F317" s="1"/>
  <c r="M145"/>
  <c r="M317" s="1"/>
  <c r="L145"/>
  <c r="L317" s="1"/>
  <c r="L231"/>
  <c r="L236" s="1"/>
  <c r="L86" i="34"/>
  <c r="L91" s="1"/>
  <c r="J145" i="29"/>
  <c r="J317" s="1"/>
  <c r="G145"/>
  <c r="G317" s="1"/>
  <c r="G359" s="1"/>
  <c r="I145"/>
  <c r="I317" s="1"/>
  <c r="I359" s="1"/>
  <c r="N145"/>
  <c r="N317" s="1"/>
  <c r="K145"/>
  <c r="K317" s="1"/>
  <c r="P145"/>
  <c r="P317" s="1"/>
  <c r="S88" i="34"/>
  <c r="S92" s="1"/>
  <c r="Q128"/>
  <c r="T72"/>
  <c r="T74" s="1"/>
  <c r="T84"/>
  <c r="T85"/>
  <c r="T90" s="1"/>
  <c r="T86"/>
  <c r="T91" s="1"/>
  <c r="S76"/>
  <c r="S77" s="1"/>
  <c r="J14" i="10"/>
  <c r="T14"/>
  <c r="K21"/>
  <c r="K9"/>
  <c r="T21"/>
  <c r="T4"/>
  <c r="K4"/>
  <c r="D213" i="47" l="1"/>
  <c r="J188"/>
  <c r="I170" i="34"/>
  <c r="I191"/>
  <c r="V132" i="46"/>
  <c r="V137" s="1"/>
  <c r="V132" i="45"/>
  <c r="V137" s="1"/>
  <c r="V133" i="47"/>
  <c r="V138" s="1"/>
  <c r="Q244" i="35"/>
  <c r="Q273"/>
  <c r="Q315" s="1"/>
  <c r="Q154" i="34"/>
  <c r="Q155" s="1"/>
  <c r="M95" i="24"/>
  <c r="K138" i="47"/>
  <c r="F213"/>
  <c r="I253" i="45"/>
  <c r="I232"/>
  <c r="K208" i="46"/>
  <c r="K250" s="1"/>
  <c r="S169" i="34"/>
  <c r="S190"/>
  <c r="L132" i="46"/>
  <c r="L137" s="1"/>
  <c r="L139" s="1"/>
  <c r="L132" i="45"/>
  <c r="L137" s="1"/>
  <c r="L139" s="1"/>
  <c r="L211" s="1"/>
  <c r="L133" i="47"/>
  <c r="L138" s="1"/>
  <c r="L140" s="1"/>
  <c r="H154" i="34"/>
  <c r="H155" s="1"/>
  <c r="D95" i="24"/>
  <c r="G155" i="34"/>
  <c r="S352" i="29"/>
  <c r="S353"/>
  <c r="S354"/>
  <c r="O343"/>
  <c r="P341"/>
  <c r="P362"/>
  <c r="O338"/>
  <c r="O359"/>
  <c r="Q339"/>
  <c r="Q360"/>
  <c r="R339"/>
  <c r="R360"/>
  <c r="P343"/>
  <c r="P364"/>
  <c r="P338"/>
  <c r="P359"/>
  <c r="F338"/>
  <c r="F359"/>
  <c r="O339"/>
  <c r="O360"/>
  <c r="P340"/>
  <c r="P361"/>
  <c r="I339"/>
  <c r="I360"/>
  <c r="I365" s="1"/>
  <c r="I367" s="1"/>
  <c r="N338"/>
  <c r="N359"/>
  <c r="J338"/>
  <c r="J344" s="1"/>
  <c r="J346" s="1"/>
  <c r="J359"/>
  <c r="J365" s="1"/>
  <c r="J367" s="1"/>
  <c r="M338"/>
  <c r="M359"/>
  <c r="P339"/>
  <c r="P360"/>
  <c r="H339"/>
  <c r="H360"/>
  <c r="H365" s="1"/>
  <c r="H367" s="1"/>
  <c r="O341"/>
  <c r="O362"/>
  <c r="G339"/>
  <c r="G360"/>
  <c r="G365" s="1"/>
  <c r="G367" s="1"/>
  <c r="O334"/>
  <c r="O335" s="1"/>
  <c r="O355"/>
  <c r="O356" s="1"/>
  <c r="N339"/>
  <c r="N360"/>
  <c r="K338"/>
  <c r="K359"/>
  <c r="Q338"/>
  <c r="Q359"/>
  <c r="L338"/>
  <c r="L359"/>
  <c r="F339"/>
  <c r="F360"/>
  <c r="M339"/>
  <c r="M360"/>
  <c r="K339"/>
  <c r="K360"/>
  <c r="R342"/>
  <c r="R363"/>
  <c r="P334"/>
  <c r="P335" s="1"/>
  <c r="P355"/>
  <c r="P356" s="1"/>
  <c r="L339"/>
  <c r="L360"/>
  <c r="P211" i="46"/>
  <c r="P250"/>
  <c r="I212" i="47"/>
  <c r="I213" s="1"/>
  <c r="E83" i="24"/>
  <c r="I276" i="35"/>
  <c r="I277" s="1"/>
  <c r="E93" i="24"/>
  <c r="J210" i="47"/>
  <c r="J249"/>
  <c r="H212"/>
  <c r="D83" i="24"/>
  <c r="J208" i="46"/>
  <c r="J250" s="1"/>
  <c r="J186"/>
  <c r="O207" i="47"/>
  <c r="O249" s="1"/>
  <c r="O186"/>
  <c r="O208" i="46"/>
  <c r="O250" s="1"/>
  <c r="O186"/>
  <c r="P210" i="47"/>
  <c r="P228"/>
  <c r="P231" s="1"/>
  <c r="P233" s="1"/>
  <c r="R149" i="34"/>
  <c r="S126"/>
  <c r="T148"/>
  <c r="Q232" i="45"/>
  <c r="O232"/>
  <c r="S198" i="29"/>
  <c r="S206" s="1"/>
  <c r="S318" s="1"/>
  <c r="O314"/>
  <c r="K84" i="24" s="1"/>
  <c r="H338" i="29"/>
  <c r="H323"/>
  <c r="P190" i="47"/>
  <c r="P188"/>
  <c r="I338" i="29"/>
  <c r="I323"/>
  <c r="S331"/>
  <c r="S332"/>
  <c r="S333"/>
  <c r="Q135" i="46"/>
  <c r="Q139" s="1"/>
  <c r="P314" i="29"/>
  <c r="L84" i="24" s="1"/>
  <c r="J323" i="29"/>
  <c r="Q136" i="47"/>
  <c r="Q140" s="1"/>
  <c r="O323" i="29"/>
  <c r="K85" i="24" s="1"/>
  <c r="R130" i="45"/>
  <c r="R124" i="44"/>
  <c r="R129" s="1"/>
  <c r="R130" i="46"/>
  <c r="R135" s="1"/>
  <c r="R139" s="1"/>
  <c r="R131" i="47"/>
  <c r="R136" s="1"/>
  <c r="R140" s="1"/>
  <c r="G338" i="29"/>
  <c r="G323"/>
  <c r="R313"/>
  <c r="R130" i="34"/>
  <c r="J149"/>
  <c r="S149"/>
  <c r="I173"/>
  <c r="I175" s="1"/>
  <c r="I152"/>
  <c r="K92"/>
  <c r="K126" s="1"/>
  <c r="S164"/>
  <c r="T89"/>
  <c r="K341" i="29"/>
  <c r="K323"/>
  <c r="G85" i="24" s="1"/>
  <c r="P323" i="29"/>
  <c r="L85" i="24" s="1"/>
  <c r="Q313" i="29"/>
  <c r="Q322"/>
  <c r="V134" i="47"/>
  <c r="V139" s="1"/>
  <c r="V133" i="46"/>
  <c r="V138" s="1"/>
  <c r="V133" i="45"/>
  <c r="V138" s="1"/>
  <c r="M134" i="47"/>
  <c r="M133" i="45"/>
  <c r="M133" i="46"/>
  <c r="M195" i="35"/>
  <c r="M200" s="1"/>
  <c r="K140" i="47"/>
  <c r="K139" i="45"/>
  <c r="K211" s="1"/>
  <c r="K253" s="1"/>
  <c r="T24" i="29"/>
  <c r="T190" s="1"/>
  <c r="T198" s="1"/>
  <c r="I290"/>
  <c r="I292" s="1"/>
  <c r="R192" i="35"/>
  <c r="R197" s="1"/>
  <c r="R201" s="1"/>
  <c r="S241"/>
  <c r="S174"/>
  <c r="S195"/>
  <c r="S200" s="1"/>
  <c r="S237"/>
  <c r="S238" s="1"/>
  <c r="S239"/>
  <c r="S240" s="1"/>
  <c r="J201"/>
  <c r="T140" i="29"/>
  <c r="O290"/>
  <c r="O297" s="1"/>
  <c r="O301" s="1"/>
  <c r="S193" i="35"/>
  <c r="S194"/>
  <c r="S199" s="1"/>
  <c r="R240"/>
  <c r="R244" s="1"/>
  <c r="R38" i="29"/>
  <c r="R221" s="1"/>
  <c r="R222" s="1"/>
  <c r="Q288"/>
  <c r="Q296" s="1"/>
  <c r="L230"/>
  <c r="L235" s="1"/>
  <c r="L237" s="1"/>
  <c r="L194" i="35"/>
  <c r="L85" i="34"/>
  <c r="L90" s="1"/>
  <c r="Q44" i="29"/>
  <c r="Q213" s="1"/>
  <c r="Q219" s="1"/>
  <c r="Q319" s="1"/>
  <c r="Q197" i="35"/>
  <c r="P304" i="29"/>
  <c r="P300"/>
  <c r="T279"/>
  <c r="S303"/>
  <c r="N300"/>
  <c r="N304"/>
  <c r="T277"/>
  <c r="S299"/>
  <c r="O304"/>
  <c r="O300"/>
  <c r="H290"/>
  <c r="H292" s="1"/>
  <c r="J276"/>
  <c r="J290"/>
  <c r="K290"/>
  <c r="G276"/>
  <c r="G278" s="1"/>
  <c r="G290"/>
  <c r="P290"/>
  <c r="O276"/>
  <c r="R111" i="31"/>
  <c r="R20" s="1"/>
  <c r="U23" i="29" s="1"/>
  <c r="R112" i="31"/>
  <c r="R21" s="1"/>
  <c r="R114"/>
  <c r="R23" s="1"/>
  <c r="U26" i="29" s="1"/>
  <c r="U195" s="1"/>
  <c r="R108" i="31"/>
  <c r="R17" s="1"/>
  <c r="U20" i="29" s="1"/>
  <c r="U108" s="1"/>
  <c r="U124" s="1"/>
  <c r="R113" i="31"/>
  <c r="R22" s="1"/>
  <c r="R109"/>
  <c r="R18" s="1"/>
  <c r="R110"/>
  <c r="R19" s="1"/>
  <c r="U22" i="29" s="1"/>
  <c r="U110" s="1"/>
  <c r="U142" s="1"/>
  <c r="Q42" i="31"/>
  <c r="Q40"/>
  <c r="T34" i="29" s="1"/>
  <c r="Q43" i="31"/>
  <c r="T25" i="29"/>
  <c r="T112" s="1"/>
  <c r="P44" i="31"/>
  <c r="S37" i="29"/>
  <c r="S126"/>
  <c r="S143"/>
  <c r="R230"/>
  <c r="R235" s="1"/>
  <c r="R228"/>
  <c r="R233" s="1"/>
  <c r="R229"/>
  <c r="R234" s="1"/>
  <c r="T255"/>
  <c r="T256" s="1"/>
  <c r="T111"/>
  <c r="T253"/>
  <c r="T254" s="1"/>
  <c r="S109"/>
  <c r="S261"/>
  <c r="S262" s="1"/>
  <c r="S242"/>
  <c r="S321" s="1"/>
  <c r="S259"/>
  <c r="S260" s="1"/>
  <c r="R125"/>
  <c r="R132" s="1"/>
  <c r="R141"/>
  <c r="S36"/>
  <c r="P35" i="31"/>
  <c r="P36" s="1"/>
  <c r="R43" i="29"/>
  <c r="T21"/>
  <c r="Q41" i="31"/>
  <c r="T35" i="29" s="1"/>
  <c r="T193"/>
  <c r="T197"/>
  <c r="S131"/>
  <c r="S144"/>
  <c r="Q237"/>
  <c r="Q320" s="1"/>
  <c r="T105" i="31"/>
  <c r="S106"/>
  <c r="R231" i="29"/>
  <c r="R236" s="1"/>
  <c r="R269"/>
  <c r="R270" s="1"/>
  <c r="R265"/>
  <c r="R266" s="1"/>
  <c r="R267"/>
  <c r="R268" s="1"/>
  <c r="R210"/>
  <c r="H276"/>
  <c r="Q272"/>
  <c r="S256"/>
  <c r="S254"/>
  <c r="I276"/>
  <c r="P276"/>
  <c r="K276"/>
  <c r="M231"/>
  <c r="M236" s="1"/>
  <c r="M86" i="34"/>
  <c r="M91" s="1"/>
  <c r="T88"/>
  <c r="O130"/>
  <c r="Q130"/>
  <c r="I130"/>
  <c r="P128"/>
  <c r="P130"/>
  <c r="J128"/>
  <c r="J130"/>
  <c r="G130"/>
  <c r="G128"/>
  <c r="F128"/>
  <c r="F130"/>
  <c r="H128"/>
  <c r="H130"/>
  <c r="R128"/>
  <c r="T76"/>
  <c r="T77" s="1"/>
  <c r="U85"/>
  <c r="U90" s="1"/>
  <c r="U84"/>
  <c r="U86"/>
  <c r="U91" s="1"/>
  <c r="U72"/>
  <c r="U74" s="1"/>
  <c r="U14" i="10"/>
  <c r="K14"/>
  <c r="L4"/>
  <c r="U4"/>
  <c r="L21"/>
  <c r="U21"/>
  <c r="L9"/>
  <c r="H213" i="47" l="1"/>
  <c r="D232"/>
  <c r="B21" i="24" s="1"/>
  <c r="L253" i="45"/>
  <c r="L232"/>
  <c r="L208" i="46"/>
  <c r="L250" s="1"/>
  <c r="L186"/>
  <c r="I194" i="34"/>
  <c r="I196" s="1"/>
  <c r="M132" i="45"/>
  <c r="M137" s="1"/>
  <c r="M132" i="46"/>
  <c r="M137" s="1"/>
  <c r="M133" i="47"/>
  <c r="M138" s="1"/>
  <c r="I154" i="34"/>
  <c r="E95" i="24"/>
  <c r="I344" i="29"/>
  <c r="I346" s="1"/>
  <c r="Q294" i="35"/>
  <c r="J170" i="34"/>
  <c r="J191"/>
  <c r="J194" s="1"/>
  <c r="J196" s="1"/>
  <c r="S170"/>
  <c r="S173" s="1"/>
  <c r="S175" s="1"/>
  <c r="S191"/>
  <c r="S194" s="1"/>
  <c r="S196" s="1"/>
  <c r="K211" i="46"/>
  <c r="R273" i="35"/>
  <c r="R315" s="1"/>
  <c r="R170" i="34"/>
  <c r="R173" s="1"/>
  <c r="R175" s="1"/>
  <c r="R191"/>
  <c r="R194" s="1"/>
  <c r="R196" s="1"/>
  <c r="W132" i="46"/>
  <c r="W137" s="1"/>
  <c r="W132" i="45"/>
  <c r="W137" s="1"/>
  <c r="W133" i="47"/>
  <c r="W138" s="1"/>
  <c r="T169" i="34"/>
  <c r="T190"/>
  <c r="K229" i="46"/>
  <c r="K232" s="1"/>
  <c r="K234" s="1"/>
  <c r="O325" i="29"/>
  <c r="O326" s="1"/>
  <c r="T352"/>
  <c r="T354"/>
  <c r="T353"/>
  <c r="K344"/>
  <c r="K346" s="1"/>
  <c r="P344"/>
  <c r="P346" s="1"/>
  <c r="T192"/>
  <c r="H344"/>
  <c r="H346" s="1"/>
  <c r="G344"/>
  <c r="G346" s="1"/>
  <c r="O344"/>
  <c r="O346" s="1"/>
  <c r="I297"/>
  <c r="I305" s="1"/>
  <c r="K365"/>
  <c r="K367" s="1"/>
  <c r="S339"/>
  <c r="S360"/>
  <c r="Q334"/>
  <c r="Q335" s="1"/>
  <c r="Q355"/>
  <c r="I325"/>
  <c r="I326" s="1"/>
  <c r="E85" i="24"/>
  <c r="H325" i="29"/>
  <c r="H326" s="1"/>
  <c r="D85" i="24"/>
  <c r="O365" i="29"/>
  <c r="O367" s="1"/>
  <c r="S342"/>
  <c r="S363"/>
  <c r="Q340"/>
  <c r="Q361"/>
  <c r="Q343"/>
  <c r="Q364"/>
  <c r="Q341"/>
  <c r="Q362"/>
  <c r="G325"/>
  <c r="G326" s="1"/>
  <c r="C85" i="24"/>
  <c r="P365" i="29"/>
  <c r="P367" s="1"/>
  <c r="R314"/>
  <c r="N84" i="24" s="1"/>
  <c r="R355" i="29"/>
  <c r="R356" s="1"/>
  <c r="J325"/>
  <c r="J326" s="1"/>
  <c r="F85" i="24"/>
  <c r="P213" i="46"/>
  <c r="L89" i="24"/>
  <c r="O229" i="46"/>
  <c r="O232" s="1"/>
  <c r="O234" s="1"/>
  <c r="J229"/>
  <c r="J232" s="1"/>
  <c r="J234" s="1"/>
  <c r="P212" i="47"/>
  <c r="P213" s="1"/>
  <c r="L83" i="24"/>
  <c r="O211" i="46"/>
  <c r="J211"/>
  <c r="J212" i="47"/>
  <c r="F83" i="24"/>
  <c r="O228" i="47"/>
  <c r="O231" s="1"/>
  <c r="O233" s="1"/>
  <c r="O210"/>
  <c r="K207"/>
  <c r="K249" s="1"/>
  <c r="K186"/>
  <c r="R208" i="46"/>
  <c r="R186"/>
  <c r="Q186" i="47"/>
  <c r="Q207"/>
  <c r="Q249" s="1"/>
  <c r="Q208" i="46"/>
  <c r="Q186"/>
  <c r="R207" i="47"/>
  <c r="R249" s="1"/>
  <c r="R186"/>
  <c r="L186"/>
  <c r="L188" s="1"/>
  <c r="L207"/>
  <c r="R152" i="34"/>
  <c r="U148"/>
  <c r="K232" i="45"/>
  <c r="R334" i="29"/>
  <c r="R335" s="1"/>
  <c r="P325"/>
  <c r="P326" s="1"/>
  <c r="R288"/>
  <c r="R296" s="1"/>
  <c r="R316"/>
  <c r="O188" i="47"/>
  <c r="O190"/>
  <c r="R135" i="45"/>
  <c r="R139" s="1"/>
  <c r="R211" s="1"/>
  <c r="R253" s="1"/>
  <c r="R322" i="29"/>
  <c r="R364" s="1"/>
  <c r="Q314"/>
  <c r="M84" i="24" s="1"/>
  <c r="S130" i="45"/>
  <c r="S135" s="1"/>
  <c r="S139" s="1"/>
  <c r="S211" s="1"/>
  <c r="S253" s="1"/>
  <c r="S124" i="44"/>
  <c r="S129" s="1"/>
  <c r="S130" i="46"/>
  <c r="S135" s="1"/>
  <c r="S139" s="1"/>
  <c r="S131" i="47"/>
  <c r="T331" i="29"/>
  <c r="T333"/>
  <c r="T332"/>
  <c r="J173" i="34"/>
  <c r="J175" s="1"/>
  <c r="J152"/>
  <c r="S152"/>
  <c r="K149"/>
  <c r="S128"/>
  <c r="T92"/>
  <c r="T149" s="1"/>
  <c r="U89"/>
  <c r="L92"/>
  <c r="L126" s="1"/>
  <c r="T164"/>
  <c r="K325" i="29"/>
  <c r="K326" s="1"/>
  <c r="Q323"/>
  <c r="L276"/>
  <c r="L280" s="1"/>
  <c r="L320"/>
  <c r="L362" s="1"/>
  <c r="L365" s="1"/>
  <c r="L367" s="1"/>
  <c r="S313"/>
  <c r="S355" s="1"/>
  <c r="S356" s="1"/>
  <c r="H280"/>
  <c r="J280"/>
  <c r="G280"/>
  <c r="O278"/>
  <c r="M138" i="45"/>
  <c r="W133"/>
  <c r="W138" s="1"/>
  <c r="W134" i="47"/>
  <c r="W139" s="1"/>
  <c r="W133" i="46"/>
  <c r="W138" s="1"/>
  <c r="M138"/>
  <c r="N133"/>
  <c r="N138" s="1"/>
  <c r="N134" i="47"/>
  <c r="N139" s="1"/>
  <c r="N133" i="45"/>
  <c r="N138" s="1"/>
  <c r="N195" i="35"/>
  <c r="N200" s="1"/>
  <c r="M139" i="47"/>
  <c r="S192" i="35"/>
  <c r="S197" s="1"/>
  <c r="O292" i="29"/>
  <c r="O293" s="1"/>
  <c r="O305"/>
  <c r="U24"/>
  <c r="U190" s="1"/>
  <c r="U192" s="1"/>
  <c r="M230"/>
  <c r="M235" s="1"/>
  <c r="M237" s="1"/>
  <c r="M320" s="1"/>
  <c r="M362" s="1"/>
  <c r="M365" s="1"/>
  <c r="M367" s="1"/>
  <c r="M194" i="35"/>
  <c r="M199" s="1"/>
  <c r="M201" s="1"/>
  <c r="M85" i="34"/>
  <c r="M90" s="1"/>
  <c r="R44" i="29"/>
  <c r="R213" s="1"/>
  <c r="R219" s="1"/>
  <c r="R319" s="1"/>
  <c r="T239" i="35"/>
  <c r="T240" s="1"/>
  <c r="T241"/>
  <c r="T242" s="1"/>
  <c r="T174"/>
  <c r="T195"/>
  <c r="T200" s="1"/>
  <c r="T237"/>
  <c r="T238" s="1"/>
  <c r="Q201"/>
  <c r="S242"/>
  <c r="S273" s="1"/>
  <c r="S315" s="1"/>
  <c r="L199"/>
  <c r="S38" i="29"/>
  <c r="S221" s="1"/>
  <c r="S222" s="1"/>
  <c r="T193" i="35"/>
  <c r="T198" s="1"/>
  <c r="T194"/>
  <c r="T199" s="1"/>
  <c r="H297" i="29"/>
  <c r="H305" s="1"/>
  <c r="S198" i="35"/>
  <c r="R145" i="29"/>
  <c r="R317" s="1"/>
  <c r="U277"/>
  <c r="T299"/>
  <c r="Q304"/>
  <c r="Q300"/>
  <c r="Q290"/>
  <c r="Q297" s="1"/>
  <c r="U279"/>
  <c r="T303"/>
  <c r="H293"/>
  <c r="T206"/>
  <c r="T318" s="1"/>
  <c r="K297"/>
  <c r="K292"/>
  <c r="K293" s="1"/>
  <c r="G292"/>
  <c r="G293" s="1"/>
  <c r="G297"/>
  <c r="J297"/>
  <c r="J292"/>
  <c r="J293" s="1"/>
  <c r="P297"/>
  <c r="P292"/>
  <c r="P293" s="1"/>
  <c r="J278"/>
  <c r="Q276"/>
  <c r="L290"/>
  <c r="U140"/>
  <c r="I278"/>
  <c r="I293"/>
  <c r="P280"/>
  <c r="K280"/>
  <c r="O280"/>
  <c r="R272"/>
  <c r="S109" i="31"/>
  <c r="S18" s="1"/>
  <c r="S110"/>
  <c r="S19" s="1"/>
  <c r="V22" i="29" s="1"/>
  <c r="V110" s="1"/>
  <c r="V142" s="1"/>
  <c r="S113" i="31"/>
  <c r="S22" s="1"/>
  <c r="S112"/>
  <c r="S21" s="1"/>
  <c r="S111"/>
  <c r="S20" s="1"/>
  <c r="V23" i="29" s="1"/>
  <c r="S108" i="31"/>
  <c r="S17" s="1"/>
  <c r="V20" i="29" s="1"/>
  <c r="V108" s="1"/>
  <c r="V124" s="1"/>
  <c r="S114" i="31"/>
  <c r="S23" s="1"/>
  <c r="V26" i="29" s="1"/>
  <c r="V195" s="1"/>
  <c r="T109"/>
  <c r="T242"/>
  <c r="T321" s="1"/>
  <c r="T259"/>
  <c r="T260" s="1"/>
  <c r="T261"/>
  <c r="T262" s="1"/>
  <c r="S230"/>
  <c r="S235" s="1"/>
  <c r="S228"/>
  <c r="S233" s="1"/>
  <c r="S229"/>
  <c r="S234" s="1"/>
  <c r="T126"/>
  <c r="T143"/>
  <c r="Q35" i="31"/>
  <c r="Q36" s="1"/>
  <c r="T36" i="29"/>
  <c r="S43"/>
  <c r="S265"/>
  <c r="S266" s="1"/>
  <c r="S231"/>
  <c r="S236" s="1"/>
  <c r="S269"/>
  <c r="S270" s="1"/>
  <c r="S267"/>
  <c r="S268" s="1"/>
  <c r="S210"/>
  <c r="R42" i="31"/>
  <c r="R43"/>
  <c r="U25" i="29"/>
  <c r="U112" s="1"/>
  <c r="R40" i="31"/>
  <c r="U34" i="29" s="1"/>
  <c r="U255"/>
  <c r="U256" s="1"/>
  <c r="U253"/>
  <c r="U254" s="1"/>
  <c r="U111"/>
  <c r="R237"/>
  <c r="R320" s="1"/>
  <c r="S125"/>
  <c r="S132" s="1"/>
  <c r="S141"/>
  <c r="S145" s="1"/>
  <c r="S317" s="1"/>
  <c r="Q44" i="31"/>
  <c r="T37" i="29"/>
  <c r="U21"/>
  <c r="R41" i="31"/>
  <c r="U35" i="29" s="1"/>
  <c r="T106" i="31"/>
  <c r="U105"/>
  <c r="T131" i="29"/>
  <c r="T144"/>
  <c r="U193"/>
  <c r="U197"/>
  <c r="I280"/>
  <c r="H278"/>
  <c r="P278"/>
  <c r="K278"/>
  <c r="N231"/>
  <c r="N236" s="1"/>
  <c r="N86" i="34"/>
  <c r="N91" s="1"/>
  <c r="U88"/>
  <c r="S130"/>
  <c r="O128"/>
  <c r="I128"/>
  <c r="U76"/>
  <c r="U77" s="1"/>
  <c r="V84"/>
  <c r="V72"/>
  <c r="V74" s="1"/>
  <c r="V85"/>
  <c r="V90" s="1"/>
  <c r="V86"/>
  <c r="V91" s="1"/>
  <c r="V14" i="10"/>
  <c r="L14"/>
  <c r="V4"/>
  <c r="V21"/>
  <c r="L229" i="46" l="1"/>
  <c r="L232" s="1"/>
  <c r="L234" s="1"/>
  <c r="L211"/>
  <c r="H89" i="24" s="1"/>
  <c r="I301" i="29"/>
  <c r="T273" i="35"/>
  <c r="T315" s="1"/>
  <c r="T244"/>
  <c r="N132" i="46"/>
  <c r="N137" s="1"/>
  <c r="N139" s="1"/>
  <c r="N132" i="45"/>
  <c r="N137" s="1"/>
  <c r="N139" s="1"/>
  <c r="N211" s="1"/>
  <c r="N133" i="47"/>
  <c r="N138" s="1"/>
  <c r="S154" i="34"/>
  <c r="S155" s="1"/>
  <c r="O95" i="24"/>
  <c r="G89"/>
  <c r="K213" i="46"/>
  <c r="L190" i="47"/>
  <c r="S244" i="35"/>
  <c r="R154" i="34"/>
  <c r="R155" s="1"/>
  <c r="N95" i="24"/>
  <c r="J154" i="34"/>
  <c r="J155" s="1"/>
  <c r="F95" i="24"/>
  <c r="U169" i="34"/>
  <c r="U190"/>
  <c r="K170"/>
  <c r="K191"/>
  <c r="X132" i="45"/>
  <c r="X132" i="46"/>
  <c r="X133" i="47"/>
  <c r="T170" i="34"/>
  <c r="T191"/>
  <c r="T194" s="1"/>
  <c r="T196" s="1"/>
  <c r="J213" i="47"/>
  <c r="I155" i="34"/>
  <c r="R294" i="35"/>
  <c r="U352" i="29"/>
  <c r="U354"/>
  <c r="U353"/>
  <c r="R343"/>
  <c r="Q344"/>
  <c r="Q346" s="1"/>
  <c r="U198"/>
  <c r="U206" s="1"/>
  <c r="U318" s="1"/>
  <c r="T342"/>
  <c r="T363"/>
  <c r="R338"/>
  <c r="R359"/>
  <c r="L278"/>
  <c r="R341"/>
  <c r="R362"/>
  <c r="Q325"/>
  <c r="Q326" s="1"/>
  <c r="M85" i="24"/>
  <c r="R337" i="29"/>
  <c r="R358"/>
  <c r="R340"/>
  <c r="R361"/>
  <c r="S338"/>
  <c r="S359"/>
  <c r="T339"/>
  <c r="T360"/>
  <c r="Q356"/>
  <c r="Q365"/>
  <c r="O213" i="46"/>
  <c r="K89" i="24"/>
  <c r="J213" i="46"/>
  <c r="F89" i="24"/>
  <c r="Q211" i="46"/>
  <c r="Q250"/>
  <c r="R211"/>
  <c r="R250"/>
  <c r="L228" i="47"/>
  <c r="L231" s="1"/>
  <c r="L233" s="1"/>
  <c r="L249"/>
  <c r="O212"/>
  <c r="O213" s="1"/>
  <c r="K83" i="24"/>
  <c r="Q229" i="46"/>
  <c r="Q232" s="1"/>
  <c r="Q234" s="1"/>
  <c r="L210" i="47"/>
  <c r="R210"/>
  <c r="R228"/>
  <c r="R231" s="1"/>
  <c r="R233" s="1"/>
  <c r="K228"/>
  <c r="K231" s="1"/>
  <c r="K233" s="1"/>
  <c r="K210"/>
  <c r="R229" i="46"/>
  <c r="R232" s="1"/>
  <c r="R234" s="1"/>
  <c r="S208"/>
  <c r="S186"/>
  <c r="Q210" i="47"/>
  <c r="Q228"/>
  <c r="Q231" s="1"/>
  <c r="Q233" s="1"/>
  <c r="T126" i="34"/>
  <c r="V148"/>
  <c r="S294" i="35"/>
  <c r="R232" i="45"/>
  <c r="S232"/>
  <c r="S288" i="29"/>
  <c r="S296" s="1"/>
  <c r="S316"/>
  <c r="U333"/>
  <c r="U331"/>
  <c r="U332"/>
  <c r="T192" i="35"/>
  <c r="T197" s="1"/>
  <c r="T201" s="1"/>
  <c r="T131" i="47"/>
  <c r="T136" s="1"/>
  <c r="T140" s="1"/>
  <c r="T130" i="45"/>
  <c r="T135" s="1"/>
  <c r="T139" s="1"/>
  <c r="T211" s="1"/>
  <c r="T253" s="1"/>
  <c r="T124" i="44"/>
  <c r="T129" s="1"/>
  <c r="T130" i="46"/>
  <c r="R190" i="47"/>
  <c r="R188"/>
  <c r="S136"/>
  <c r="S140" s="1"/>
  <c r="Q188"/>
  <c r="Q190"/>
  <c r="K130" i="34"/>
  <c r="K128"/>
  <c r="K152"/>
  <c r="L149"/>
  <c r="T173"/>
  <c r="T175" s="1"/>
  <c r="T152"/>
  <c r="U92"/>
  <c r="U149" s="1"/>
  <c r="U164"/>
  <c r="V89"/>
  <c r="M92"/>
  <c r="R323" i="29"/>
  <c r="N85" i="24" s="1"/>
  <c r="L341" i="29"/>
  <c r="L344" s="1"/>
  <c r="L346" s="1"/>
  <c r="L323"/>
  <c r="H85" i="24" s="1"/>
  <c r="M341" i="29"/>
  <c r="M344" s="1"/>
  <c r="M346" s="1"/>
  <c r="M323"/>
  <c r="I85" i="24" s="1"/>
  <c r="T313" i="29"/>
  <c r="S314"/>
  <c r="O84" i="24" s="1"/>
  <c r="S334" i="29"/>
  <c r="S335" s="1"/>
  <c r="S322"/>
  <c r="S364" s="1"/>
  <c r="X133" i="45"/>
  <c r="X134" i="47"/>
  <c r="X133" i="46"/>
  <c r="K188" i="47"/>
  <c r="K190"/>
  <c r="M139" i="45"/>
  <c r="M211" s="1"/>
  <c r="M253" s="1"/>
  <c r="M139" i="46"/>
  <c r="M140" i="47"/>
  <c r="S201" i="35"/>
  <c r="H301" i="29"/>
  <c r="V24"/>
  <c r="V190" s="1"/>
  <c r="V192" s="1"/>
  <c r="U193" i="35"/>
  <c r="U198" s="1"/>
  <c r="U194"/>
  <c r="U199" s="1"/>
  <c r="L201"/>
  <c r="N230" i="29"/>
  <c r="N235" s="1"/>
  <c r="N237" s="1"/>
  <c r="N320" s="1"/>
  <c r="N362" s="1"/>
  <c r="N365" s="1"/>
  <c r="N367" s="1"/>
  <c r="N194" i="35"/>
  <c r="N85" i="34"/>
  <c r="N90" s="1"/>
  <c r="U174" i="35"/>
  <c r="U241"/>
  <c r="U242" s="1"/>
  <c r="U195"/>
  <c r="U200" s="1"/>
  <c r="U239"/>
  <c r="U240" s="1"/>
  <c r="U237"/>
  <c r="U238" s="1"/>
  <c r="S44" i="29"/>
  <c r="S213" s="1"/>
  <c r="S219" s="1"/>
  <c r="S319" s="1"/>
  <c r="T38"/>
  <c r="T221" s="1"/>
  <c r="T222" s="1"/>
  <c r="Q292"/>
  <c r="Q293" s="1"/>
  <c r="K305"/>
  <c r="K301"/>
  <c r="J305"/>
  <c r="J301"/>
  <c r="R300"/>
  <c r="R304"/>
  <c r="Q305"/>
  <c r="Q301"/>
  <c r="V279"/>
  <c r="U303"/>
  <c r="R290"/>
  <c r="R292" s="1"/>
  <c r="P305"/>
  <c r="P301"/>
  <c r="V277"/>
  <c r="U299"/>
  <c r="S272"/>
  <c r="G305"/>
  <c r="G301"/>
  <c r="M276"/>
  <c r="M290"/>
  <c r="L297"/>
  <c r="L292"/>
  <c r="L293" s="1"/>
  <c r="Q280"/>
  <c r="Q278"/>
  <c r="V140"/>
  <c r="R276"/>
  <c r="U106" i="31"/>
  <c r="V105"/>
  <c r="R44"/>
  <c r="U37" i="29"/>
  <c r="T141"/>
  <c r="T125"/>
  <c r="T132" s="1"/>
  <c r="U143"/>
  <c r="U126"/>
  <c r="U131"/>
  <c r="U144"/>
  <c r="T43"/>
  <c r="V255"/>
  <c r="V256" s="1"/>
  <c r="V111"/>
  <c r="V253"/>
  <c r="V254" s="1"/>
  <c r="V21"/>
  <c r="S41" i="31"/>
  <c r="V35" i="29" s="1"/>
  <c r="S237"/>
  <c r="S320" s="1"/>
  <c r="T231"/>
  <c r="T236" s="1"/>
  <c r="T267"/>
  <c r="T268" s="1"/>
  <c r="T210"/>
  <c r="T265"/>
  <c r="T266" s="1"/>
  <c r="T269"/>
  <c r="T270" s="1"/>
  <c r="T230"/>
  <c r="T235" s="1"/>
  <c r="T229"/>
  <c r="T234" s="1"/>
  <c r="T228"/>
  <c r="T233" s="1"/>
  <c r="T113" i="31"/>
  <c r="T22" s="1"/>
  <c r="T112"/>
  <c r="T21" s="1"/>
  <c r="T109"/>
  <c r="T18" s="1"/>
  <c r="T110"/>
  <c r="T19" s="1"/>
  <c r="W22" i="29" s="1"/>
  <c r="W110" s="1"/>
  <c r="W142" s="1"/>
  <c r="T111" i="31"/>
  <c r="T20" s="1"/>
  <c r="W23" i="29" s="1"/>
  <c r="T114" i="31"/>
  <c r="T23" s="1"/>
  <c r="W26" i="29" s="1"/>
  <c r="W195" s="1"/>
  <c r="T108" i="31"/>
  <c r="T17" s="1"/>
  <c r="W20" i="29" s="1"/>
  <c r="W108" s="1"/>
  <c r="W124" s="1"/>
  <c r="U109"/>
  <c r="U242"/>
  <c r="U321" s="1"/>
  <c r="U261"/>
  <c r="U262" s="1"/>
  <c r="U259"/>
  <c r="U260" s="1"/>
  <c r="U36"/>
  <c r="R35" i="31"/>
  <c r="R36" s="1"/>
  <c r="V193" i="29"/>
  <c r="V197"/>
  <c r="S43" i="31"/>
  <c r="V25" i="29"/>
  <c r="V112" s="1"/>
  <c r="S42" i="31"/>
  <c r="S40"/>
  <c r="V34" i="29" s="1"/>
  <c r="T128" i="34"/>
  <c r="V88"/>
  <c r="W84"/>
  <c r="W86"/>
  <c r="W91" s="1"/>
  <c r="W85"/>
  <c r="W90" s="1"/>
  <c r="W72"/>
  <c r="W74" s="1"/>
  <c r="V76"/>
  <c r="V77" s="1"/>
  <c r="F237" i="29"/>
  <c r="F320" s="1"/>
  <c r="F362" s="1"/>
  <c r="L213" i="46" l="1"/>
  <c r="T294" i="35"/>
  <c r="N186" i="46"/>
  <c r="N208"/>
  <c r="N211" s="1"/>
  <c r="N213" s="1"/>
  <c r="N253" i="45"/>
  <c r="N232"/>
  <c r="L170" i="34"/>
  <c r="L191"/>
  <c r="L194" s="1"/>
  <c r="L196" s="1"/>
  <c r="V169"/>
  <c r="V190"/>
  <c r="X137" i="46"/>
  <c r="AD137" s="1"/>
  <c r="AD132"/>
  <c r="N140" i="47"/>
  <c r="N207" s="1"/>
  <c r="T154" i="34"/>
  <c r="T155" s="1"/>
  <c r="P95" i="24"/>
  <c r="X138" i="47"/>
  <c r="AD138" s="1"/>
  <c r="AD133"/>
  <c r="K194" i="34"/>
  <c r="K196" s="1"/>
  <c r="U244" i="35"/>
  <c r="U273"/>
  <c r="U315" s="1"/>
  <c r="U170" i="34"/>
  <c r="U191"/>
  <c r="U194" s="1"/>
  <c r="U196" s="1"/>
  <c r="K154"/>
  <c r="G95" i="24"/>
  <c r="X137" i="45"/>
  <c r="AD137" s="1"/>
  <c r="AD132"/>
  <c r="V92" i="34"/>
  <c r="V354" i="29"/>
  <c r="V353"/>
  <c r="V352"/>
  <c r="R344"/>
  <c r="R346" s="1"/>
  <c r="U313"/>
  <c r="U355" s="1"/>
  <c r="U356" s="1"/>
  <c r="Q367"/>
  <c r="F365"/>
  <c r="S340"/>
  <c r="S361"/>
  <c r="T334"/>
  <c r="T335" s="1"/>
  <c r="T355"/>
  <c r="T356" s="1"/>
  <c r="S337"/>
  <c r="S358"/>
  <c r="R365"/>
  <c r="R367" s="1"/>
  <c r="R325"/>
  <c r="R326" s="1"/>
  <c r="U342"/>
  <c r="U363"/>
  <c r="U339"/>
  <c r="U360"/>
  <c r="S341"/>
  <c r="S362"/>
  <c r="K212" i="47"/>
  <c r="G83" i="24"/>
  <c r="Q213" i="46"/>
  <c r="M89" i="24"/>
  <c r="Q212" i="47"/>
  <c r="Q213" s="1"/>
  <c r="M83" i="24"/>
  <c r="R212" i="47"/>
  <c r="R213" s="1"/>
  <c r="N83" i="24"/>
  <c r="L212" i="47"/>
  <c r="L213" s="1"/>
  <c r="H83" i="24"/>
  <c r="R213" i="46"/>
  <c r="N89" i="24"/>
  <c r="S211" i="46"/>
  <c r="S250"/>
  <c r="M186" i="47"/>
  <c r="M207"/>
  <c r="M249" s="1"/>
  <c r="N186"/>
  <c r="N190" s="1"/>
  <c r="S229" i="46"/>
  <c r="S232" s="1"/>
  <c r="S234" s="1"/>
  <c r="M208"/>
  <c r="M211" s="1"/>
  <c r="M186"/>
  <c r="S207" i="47"/>
  <c r="S249" s="1"/>
  <c r="S186"/>
  <c r="T186"/>
  <c r="T207"/>
  <c r="T249" s="1"/>
  <c r="V126" i="34"/>
  <c r="U126"/>
  <c r="U128" s="1"/>
  <c r="W148"/>
  <c r="M149"/>
  <c r="M126"/>
  <c r="M128" s="1"/>
  <c r="U294" i="35"/>
  <c r="M232" i="45"/>
  <c r="T232"/>
  <c r="V198" i="29"/>
  <c r="V206" s="1"/>
  <c r="V318" s="1"/>
  <c r="T314"/>
  <c r="P84" i="24" s="1"/>
  <c r="U130" i="46"/>
  <c r="U135" s="1"/>
  <c r="U139" s="1"/>
  <c r="U131" i="47"/>
  <c r="U136" s="1"/>
  <c r="U140" s="1"/>
  <c r="U130" i="45"/>
  <c r="U135" s="1"/>
  <c r="U139" s="1"/>
  <c r="U211" s="1"/>
  <c r="U253" s="1"/>
  <c r="U124" i="44"/>
  <c r="U129" s="1"/>
  <c r="T288" i="29"/>
  <c r="T296" s="1"/>
  <c r="T316"/>
  <c r="V332"/>
  <c r="V331"/>
  <c r="V333"/>
  <c r="T135" i="46"/>
  <c r="T139" s="1"/>
  <c r="T322" i="29"/>
  <c r="T364" s="1"/>
  <c r="U173" i="34"/>
  <c r="U175" s="1"/>
  <c r="U152"/>
  <c r="V149"/>
  <c r="L128"/>
  <c r="L130"/>
  <c r="L173"/>
  <c r="L175" s="1"/>
  <c r="L152"/>
  <c r="K173"/>
  <c r="K175" s="1"/>
  <c r="T130"/>
  <c r="V164"/>
  <c r="N92"/>
  <c r="N126" s="1"/>
  <c r="W89"/>
  <c r="L325" i="29"/>
  <c r="L326" s="1"/>
  <c r="M325"/>
  <c r="M326" s="1"/>
  <c r="F341"/>
  <c r="F323"/>
  <c r="N341"/>
  <c r="N344" s="1"/>
  <c r="N346" s="1"/>
  <c r="N323"/>
  <c r="J85" i="24" s="1"/>
  <c r="S323" i="29"/>
  <c r="S343"/>
  <c r="U314"/>
  <c r="Q84" i="24" s="1"/>
  <c r="M280" i="29"/>
  <c r="X138" i="45"/>
  <c r="AD133"/>
  <c r="X139" i="47"/>
  <c r="AD134"/>
  <c r="X138" i="46"/>
  <c r="AD133"/>
  <c r="U192" i="35"/>
  <c r="U197" s="1"/>
  <c r="U201" s="1"/>
  <c r="S290" i="29"/>
  <c r="S297" s="1"/>
  <c r="S301" s="1"/>
  <c r="W24"/>
  <c r="W190" s="1"/>
  <c r="W192" s="1"/>
  <c r="V195" i="35"/>
  <c r="V200" s="1"/>
  <c r="V174"/>
  <c r="V237"/>
  <c r="V238" s="1"/>
  <c r="V239"/>
  <c r="V240" s="1"/>
  <c r="V241"/>
  <c r="V242" s="1"/>
  <c r="T44" i="29"/>
  <c r="T213" s="1"/>
  <c r="T219" s="1"/>
  <c r="T319" s="1"/>
  <c r="U38"/>
  <c r="U221" s="1"/>
  <c r="U222" s="1"/>
  <c r="V193" i="35"/>
  <c r="V198" s="1"/>
  <c r="V194"/>
  <c r="V199" s="1"/>
  <c r="N199"/>
  <c r="R297" i="29"/>
  <c r="R305" s="1"/>
  <c r="T145"/>
  <c r="T317" s="1"/>
  <c r="S304"/>
  <c r="S300"/>
  <c r="L305"/>
  <c r="L301"/>
  <c r="W279"/>
  <c r="V303"/>
  <c r="W277"/>
  <c r="V299"/>
  <c r="F276"/>
  <c r="F290"/>
  <c r="M297"/>
  <c r="M292"/>
  <c r="M293" s="1"/>
  <c r="N276"/>
  <c r="N290"/>
  <c r="W140"/>
  <c r="M278"/>
  <c r="R280"/>
  <c r="R293"/>
  <c r="R278"/>
  <c r="S276"/>
  <c r="S44" i="31"/>
  <c r="V37" i="29"/>
  <c r="U229"/>
  <c r="U234" s="1"/>
  <c r="U230"/>
  <c r="U235" s="1"/>
  <c r="U228"/>
  <c r="U233" s="1"/>
  <c r="U141"/>
  <c r="U145" s="1"/>
  <c r="U317" s="1"/>
  <c r="U125"/>
  <c r="U132" s="1"/>
  <c r="V131"/>
  <c r="V144"/>
  <c r="U43"/>
  <c r="W255"/>
  <c r="W256" s="1"/>
  <c r="W111"/>
  <c r="W253"/>
  <c r="W254" s="1"/>
  <c r="W25"/>
  <c r="W112" s="1"/>
  <c r="T42" i="31"/>
  <c r="T40"/>
  <c r="W34" i="29" s="1"/>
  <c r="T43" i="31"/>
  <c r="V143" i="29"/>
  <c r="V126"/>
  <c r="U267"/>
  <c r="U268" s="1"/>
  <c r="U269"/>
  <c r="U270" s="1"/>
  <c r="U265"/>
  <c r="U266" s="1"/>
  <c r="U231"/>
  <c r="U236" s="1"/>
  <c r="U210"/>
  <c r="V36"/>
  <c r="S35" i="31"/>
  <c r="S36" s="1"/>
  <c r="W193" i="29"/>
  <c r="W197"/>
  <c r="U114" i="31"/>
  <c r="U23" s="1"/>
  <c r="X26" i="29" s="1"/>
  <c r="X195" s="1"/>
  <c r="U110" i="31"/>
  <c r="U19" s="1"/>
  <c r="X22" i="29" s="1"/>
  <c r="X110" s="1"/>
  <c r="X142" s="1"/>
  <c r="U113" i="31"/>
  <c r="U22" s="1"/>
  <c r="U111"/>
  <c r="U20" s="1"/>
  <c r="X23" i="29" s="1"/>
  <c r="U112" i="31"/>
  <c r="U21" s="1"/>
  <c r="U109"/>
  <c r="U18" s="1"/>
  <c r="U108"/>
  <c r="U17" s="1"/>
  <c r="X20" i="29" s="1"/>
  <c r="X108" s="1"/>
  <c r="X124" s="1"/>
  <c r="T237"/>
  <c r="T320" s="1"/>
  <c r="T272"/>
  <c r="T41" i="31"/>
  <c r="W35" i="29" s="1"/>
  <c r="W21"/>
  <c r="V109"/>
  <c r="V261"/>
  <c r="V262" s="1"/>
  <c r="V259"/>
  <c r="V260" s="1"/>
  <c r="V242"/>
  <c r="V321" s="1"/>
  <c r="V106" i="31"/>
  <c r="W105"/>
  <c r="V128" i="34"/>
  <c r="W88"/>
  <c r="W92" s="1"/>
  <c r="X85"/>
  <c r="X90" s="1"/>
  <c r="X86"/>
  <c r="X91" s="1"/>
  <c r="X72"/>
  <c r="X74" s="1"/>
  <c r="X84"/>
  <c r="W76"/>
  <c r="W77" s="1"/>
  <c r="N250" i="46" l="1"/>
  <c r="J89" i="24"/>
  <c r="N249" i="47"/>
  <c r="N210"/>
  <c r="J83" i="24" s="1"/>
  <c r="T343" i="29"/>
  <c r="N229" i="46"/>
  <c r="N232" s="1"/>
  <c r="N234" s="1"/>
  <c r="M130" i="34"/>
  <c r="B85" i="24"/>
  <c r="K155" i="34"/>
  <c r="U154"/>
  <c r="U155" s="1"/>
  <c r="Q95" i="24"/>
  <c r="W169" i="34"/>
  <c r="W190"/>
  <c r="K213" i="47"/>
  <c r="V273" i="35"/>
  <c r="V315" s="1"/>
  <c r="V244"/>
  <c r="L154" i="34"/>
  <c r="L155" s="1"/>
  <c r="H95" i="24"/>
  <c r="V170" i="34"/>
  <c r="V191"/>
  <c r="M170"/>
  <c r="M173" s="1"/>
  <c r="M175" s="1"/>
  <c r="M191"/>
  <c r="M194" s="1"/>
  <c r="M196" s="1"/>
  <c r="F367" i="29"/>
  <c r="V194" i="34"/>
  <c r="V196" s="1"/>
  <c r="N188" i="47"/>
  <c r="W352" i="29"/>
  <c r="W353"/>
  <c r="W354"/>
  <c r="U334"/>
  <c r="U335" s="1"/>
  <c r="S344"/>
  <c r="S346" s="1"/>
  <c r="S365"/>
  <c r="S367" s="1"/>
  <c r="T337"/>
  <c r="T358"/>
  <c r="V342"/>
  <c r="V363"/>
  <c r="T340"/>
  <c r="T361"/>
  <c r="T341"/>
  <c r="T362"/>
  <c r="V339"/>
  <c r="V360"/>
  <c r="T338"/>
  <c r="T359"/>
  <c r="U338"/>
  <c r="U359"/>
  <c r="S325"/>
  <c r="S326" s="1"/>
  <c r="O85" i="24"/>
  <c r="N212" i="47"/>
  <c r="N213" s="1"/>
  <c r="M229" i="46"/>
  <c r="M232" s="1"/>
  <c r="M234" s="1"/>
  <c r="M250"/>
  <c r="M213"/>
  <c r="I89" i="24"/>
  <c r="S213" i="46"/>
  <c r="O89" i="24"/>
  <c r="N228" i="47"/>
  <c r="N231" s="1"/>
  <c r="N233" s="1"/>
  <c r="U208" i="46"/>
  <c r="U250" s="1"/>
  <c r="U186"/>
  <c r="T208"/>
  <c r="T250" s="1"/>
  <c r="T186"/>
  <c r="T228" i="47"/>
  <c r="T231" s="1"/>
  <c r="T233" s="1"/>
  <c r="T210"/>
  <c r="U186"/>
  <c r="U207"/>
  <c r="U249" s="1"/>
  <c r="M228"/>
  <c r="M231" s="1"/>
  <c r="M233" s="1"/>
  <c r="M210"/>
  <c r="S210"/>
  <c r="S228"/>
  <c r="S231" s="1"/>
  <c r="S233" s="1"/>
  <c r="M152" i="34"/>
  <c r="W126"/>
  <c r="X148"/>
  <c r="V294" i="35"/>
  <c r="U232" i="45"/>
  <c r="V130"/>
  <c r="V135" s="1"/>
  <c r="V139" s="1"/>
  <c r="V211" s="1"/>
  <c r="V253" s="1"/>
  <c r="V124" i="44"/>
  <c r="V129" s="1"/>
  <c r="V130" i="46"/>
  <c r="V135" s="1"/>
  <c r="V139" s="1"/>
  <c r="V131" i="47"/>
  <c r="V136" s="1"/>
  <c r="V140" s="1"/>
  <c r="W331" i="29"/>
  <c r="W333"/>
  <c r="W332"/>
  <c r="V313"/>
  <c r="V355" s="1"/>
  <c r="V356" s="1"/>
  <c r="T190" i="47"/>
  <c r="T188"/>
  <c r="U288" i="29"/>
  <c r="U296" s="1"/>
  <c r="U316"/>
  <c r="S190" i="47"/>
  <c r="S188"/>
  <c r="N149" i="34"/>
  <c r="V173"/>
  <c r="V175" s="1"/>
  <c r="V152"/>
  <c r="W149"/>
  <c r="U130"/>
  <c r="X89"/>
  <c r="W164"/>
  <c r="N325" i="29"/>
  <c r="N326" s="1"/>
  <c r="F325"/>
  <c r="T323"/>
  <c r="F344"/>
  <c r="U322"/>
  <c r="F278"/>
  <c r="N278"/>
  <c r="AD139" i="47"/>
  <c r="M190"/>
  <c r="M188"/>
  <c r="AD138" i="45"/>
  <c r="AD138" i="46"/>
  <c r="W198" i="29"/>
  <c r="W206" s="1"/>
  <c r="W318" s="1"/>
  <c r="S292"/>
  <c r="S293" s="1"/>
  <c r="S305"/>
  <c r="X24"/>
  <c r="X190" s="1"/>
  <c r="X192" s="1"/>
  <c r="V38"/>
  <c r="V221" s="1"/>
  <c r="V222" s="1"/>
  <c r="N201" i="35"/>
  <c r="W239"/>
  <c r="W240" s="1"/>
  <c r="W241"/>
  <c r="W242" s="1"/>
  <c r="W195"/>
  <c r="W200" s="1"/>
  <c r="W174"/>
  <c r="W237"/>
  <c r="W238" s="1"/>
  <c r="U44" i="29"/>
  <c r="U213" s="1"/>
  <c r="U219" s="1"/>
  <c r="U319" s="1"/>
  <c r="V192" i="35"/>
  <c r="V197" s="1"/>
  <c r="V201" s="1"/>
  <c r="W193"/>
  <c r="W198" s="1"/>
  <c r="W194"/>
  <c r="W199" s="1"/>
  <c r="T290" i="29"/>
  <c r="T292" s="1"/>
  <c r="R301"/>
  <c r="F280"/>
  <c r="X277"/>
  <c r="W299"/>
  <c r="T304"/>
  <c r="T300"/>
  <c r="M305"/>
  <c r="M301"/>
  <c r="X279"/>
  <c r="W303"/>
  <c r="N280"/>
  <c r="N297"/>
  <c r="N292"/>
  <c r="N293" s="1"/>
  <c r="F292"/>
  <c r="F293" s="1"/>
  <c r="F297"/>
  <c r="S280"/>
  <c r="U272"/>
  <c r="S278"/>
  <c r="T276"/>
  <c r="X140"/>
  <c r="W109"/>
  <c r="W259"/>
  <c r="W260" s="1"/>
  <c r="W261"/>
  <c r="W262" s="1"/>
  <c r="W242"/>
  <c r="W321" s="1"/>
  <c r="U40" i="31"/>
  <c r="X34" i="29" s="1"/>
  <c r="U42" i="31"/>
  <c r="U43"/>
  <c r="X25" i="29"/>
  <c r="X112" s="1"/>
  <c r="V228"/>
  <c r="V233" s="1"/>
  <c r="V230"/>
  <c r="V235" s="1"/>
  <c r="V229"/>
  <c r="V234" s="1"/>
  <c r="W131"/>
  <c r="W144"/>
  <c r="V108" i="31"/>
  <c r="V17" s="1"/>
  <c r="Y20" i="29" s="1"/>
  <c r="Y108" s="1"/>
  <c r="Y124" s="1"/>
  <c r="V109" i="31"/>
  <c r="V18" s="1"/>
  <c r="V110"/>
  <c r="V19" s="1"/>
  <c r="Y22" i="29" s="1"/>
  <c r="Y110" s="1"/>
  <c r="Y142" s="1"/>
  <c r="V114" i="31"/>
  <c r="V23" s="1"/>
  <c r="Y26" i="29" s="1"/>
  <c r="Y195" s="1"/>
  <c r="V111" i="31"/>
  <c r="V20" s="1"/>
  <c r="Y23" i="29" s="1"/>
  <c r="V113" i="31"/>
  <c r="V22" s="1"/>
  <c r="V112"/>
  <c r="V21" s="1"/>
  <c r="V141" i="29"/>
  <c r="V145" s="1"/>
  <c r="V317" s="1"/>
  <c r="V125"/>
  <c r="V132" s="1"/>
  <c r="X111"/>
  <c r="X253"/>
  <c r="X254" s="1"/>
  <c r="X255"/>
  <c r="X256" s="1"/>
  <c r="V43"/>
  <c r="T35" i="31"/>
  <c r="T36" s="1"/>
  <c r="W36" i="29"/>
  <c r="X105" i="31"/>
  <c r="W106"/>
  <c r="X193" i="29"/>
  <c r="X197"/>
  <c r="W143"/>
  <c r="W126"/>
  <c r="U237"/>
  <c r="U320" s="1"/>
  <c r="U41" i="31"/>
  <c r="X35" i="29" s="1"/>
  <c r="X21"/>
  <c r="T44" i="31"/>
  <c r="W37" i="29"/>
  <c r="V269"/>
  <c r="V270" s="1"/>
  <c r="V231"/>
  <c r="V236" s="1"/>
  <c r="V265"/>
  <c r="V266" s="1"/>
  <c r="V210"/>
  <c r="V267"/>
  <c r="V268" s="1"/>
  <c r="X88" i="34"/>
  <c r="V130"/>
  <c r="Y85"/>
  <c r="Y90" s="1"/>
  <c r="Y72"/>
  <c r="Y74" s="1"/>
  <c r="Y84"/>
  <c r="Y86"/>
  <c r="Y91" s="1"/>
  <c r="X76"/>
  <c r="X77" s="1"/>
  <c r="F346" i="29" l="1"/>
  <c r="V154" i="34"/>
  <c r="V155" s="1"/>
  <c r="R95" i="24"/>
  <c r="X169" i="34"/>
  <c r="X190"/>
  <c r="X92"/>
  <c r="X126" s="1"/>
  <c r="W170"/>
  <c r="W191"/>
  <c r="W194" s="1"/>
  <c r="W196" s="1"/>
  <c r="W244" i="35"/>
  <c r="W273"/>
  <c r="W315" s="1"/>
  <c r="F326" i="29"/>
  <c r="N170" i="34"/>
  <c r="N173" s="1"/>
  <c r="N175" s="1"/>
  <c r="N191"/>
  <c r="N194" s="1"/>
  <c r="N196" s="1"/>
  <c r="M154"/>
  <c r="M155" s="1"/>
  <c r="I95" i="24"/>
  <c r="T211" i="46"/>
  <c r="T213" s="1"/>
  <c r="V314" i="29"/>
  <c r="R84" i="24" s="1"/>
  <c r="X352" i="29"/>
  <c r="X354"/>
  <c r="X353"/>
  <c r="Y140"/>
  <c r="T344"/>
  <c r="T346" s="1"/>
  <c r="U343"/>
  <c r="U364"/>
  <c r="V338"/>
  <c r="V359"/>
  <c r="T325"/>
  <c r="T326" s="1"/>
  <c r="P85" i="24"/>
  <c r="U337" i="29"/>
  <c r="U358"/>
  <c r="U229" i="46"/>
  <c r="U232" s="1"/>
  <c r="U234" s="1"/>
  <c r="V334" i="29"/>
  <c r="V335" s="1"/>
  <c r="U211" i="46"/>
  <c r="Q89" i="24" s="1"/>
  <c r="T365" i="29"/>
  <c r="T367" s="1"/>
  <c r="U341"/>
  <c r="U362"/>
  <c r="W342"/>
  <c r="W363"/>
  <c r="U340"/>
  <c r="U361"/>
  <c r="W339"/>
  <c r="W360"/>
  <c r="T229" i="46"/>
  <c r="T232" s="1"/>
  <c r="T234" s="1"/>
  <c r="S212" i="47"/>
  <c r="S213" s="1"/>
  <c r="O83" i="24"/>
  <c r="M212" i="47"/>
  <c r="I83" i="24"/>
  <c r="T212" i="47"/>
  <c r="T213" s="1"/>
  <c r="P83" i="24"/>
  <c r="V207" i="47"/>
  <c r="V249" s="1"/>
  <c r="V186"/>
  <c r="V208" i="46"/>
  <c r="V211" s="1"/>
  <c r="V186"/>
  <c r="U210" i="47"/>
  <c r="U228"/>
  <c r="U231" s="1"/>
  <c r="U233" s="1"/>
  <c r="Y148" i="34"/>
  <c r="V232" i="45"/>
  <c r="X198" i="29"/>
  <c r="X206" s="1"/>
  <c r="X318" s="1"/>
  <c r="V288"/>
  <c r="V296" s="1"/>
  <c r="V316"/>
  <c r="X332"/>
  <c r="X333"/>
  <c r="X331"/>
  <c r="U190" i="47"/>
  <c r="U188"/>
  <c r="W130" i="45"/>
  <c r="W135" s="1"/>
  <c r="W139" s="1"/>
  <c r="W211" s="1"/>
  <c r="W253" s="1"/>
  <c r="W124" i="44"/>
  <c r="W129" s="1"/>
  <c r="W130" i="46"/>
  <c r="W135" s="1"/>
  <c r="W139" s="1"/>
  <c r="W131" i="47"/>
  <c r="W136" s="1"/>
  <c r="W140" s="1"/>
  <c r="W173" i="34"/>
  <c r="W175" s="1"/>
  <c r="W152"/>
  <c r="N128"/>
  <c r="N130"/>
  <c r="X149"/>
  <c r="N152"/>
  <c r="W130"/>
  <c r="Y89"/>
  <c r="X164"/>
  <c r="U323" i="29"/>
  <c r="Q85" i="24" s="1"/>
  <c r="W313" i="29"/>
  <c r="V322"/>
  <c r="V364" s="1"/>
  <c r="T297"/>
  <c r="T305" s="1"/>
  <c r="Y24"/>
  <c r="Y190" s="1"/>
  <c r="Y192" s="1"/>
  <c r="X241" i="35"/>
  <c r="X242" s="1"/>
  <c r="X174"/>
  <c r="X195"/>
  <c r="X200" s="1"/>
  <c r="X237"/>
  <c r="X238" s="1"/>
  <c r="X239"/>
  <c r="X240" s="1"/>
  <c r="W192"/>
  <c r="W197" s="1"/>
  <c r="W201" s="1"/>
  <c r="W38" i="29"/>
  <c r="W221" s="1"/>
  <c r="W222" s="1"/>
  <c r="V44"/>
  <c r="V213" s="1"/>
  <c r="X193" i="35"/>
  <c r="X198" s="1"/>
  <c r="X194"/>
  <c r="X199" s="1"/>
  <c r="Y279" i="29"/>
  <c r="X303"/>
  <c r="U290"/>
  <c r="U297" s="1"/>
  <c r="F301"/>
  <c r="F305"/>
  <c r="Y277"/>
  <c r="X299"/>
  <c r="U304"/>
  <c r="U300"/>
  <c r="N305"/>
  <c r="N301"/>
  <c r="V272"/>
  <c r="T280"/>
  <c r="T293"/>
  <c r="U276"/>
  <c r="T278"/>
  <c r="V219"/>
  <c r="V319" s="1"/>
  <c r="X109"/>
  <c r="X259"/>
  <c r="X260" s="1"/>
  <c r="X261"/>
  <c r="X262" s="1"/>
  <c r="X242"/>
  <c r="X321" s="1"/>
  <c r="W228"/>
  <c r="W233" s="1"/>
  <c r="W229"/>
  <c r="W234" s="1"/>
  <c r="W230"/>
  <c r="W235" s="1"/>
  <c r="Y193"/>
  <c r="Y197"/>
  <c r="W141"/>
  <c r="W145" s="1"/>
  <c r="W317" s="1"/>
  <c r="W125"/>
  <c r="W132" s="1"/>
  <c r="V237"/>
  <c r="V320" s="1"/>
  <c r="Y111"/>
  <c r="Y255"/>
  <c r="Y256" s="1"/>
  <c r="Y253"/>
  <c r="Y254" s="1"/>
  <c r="U35" i="31"/>
  <c r="U36" s="1"/>
  <c r="X36" i="29"/>
  <c r="W267"/>
  <c r="W268" s="1"/>
  <c r="W231"/>
  <c r="W236" s="1"/>
  <c r="W210"/>
  <c r="W265"/>
  <c r="W266" s="1"/>
  <c r="W269"/>
  <c r="W270" s="1"/>
  <c r="X106" i="31"/>
  <c r="Y105"/>
  <c r="X143" i="29"/>
  <c r="X126"/>
  <c r="V40" i="31"/>
  <c r="Y34" i="29" s="1"/>
  <c r="V42" i="31"/>
  <c r="V43"/>
  <c r="Y25" i="29"/>
  <c r="Y112" s="1"/>
  <c r="Y21"/>
  <c r="V41" i="31"/>
  <c r="Y35" i="29" s="1"/>
  <c r="U44" i="31"/>
  <c r="X37" i="29"/>
  <c r="W114" i="31"/>
  <c r="W23" s="1"/>
  <c r="Z26" i="29" s="1"/>
  <c r="Z195" s="1"/>
  <c r="W111" i="31"/>
  <c r="W20" s="1"/>
  <c r="Z23" i="29" s="1"/>
  <c r="W113" i="31"/>
  <c r="W22" s="1"/>
  <c r="W112"/>
  <c r="W21" s="1"/>
  <c r="W108"/>
  <c r="W17" s="1"/>
  <c r="Z20" i="29" s="1"/>
  <c r="Z108" s="1"/>
  <c r="Z124" s="1"/>
  <c r="W109" i="31"/>
  <c r="W18" s="1"/>
  <c r="W110"/>
  <c r="W19" s="1"/>
  <c r="Z22" i="29" s="1"/>
  <c r="Z110" s="1"/>
  <c r="Z142" s="1"/>
  <c r="W43"/>
  <c r="X131"/>
  <c r="X144"/>
  <c r="W128" i="34"/>
  <c r="Y88"/>
  <c r="Y92" s="1"/>
  <c r="Y149" s="1"/>
  <c r="Y76"/>
  <c r="Y77" s="1"/>
  <c r="Z85"/>
  <c r="Z90" s="1"/>
  <c r="Z84"/>
  <c r="Z72"/>
  <c r="Z74" s="1"/>
  <c r="Z86"/>
  <c r="Z91" s="1"/>
  <c r="X273" i="35" l="1"/>
  <c r="X315" s="1"/>
  <c r="X244"/>
  <c r="W154" i="34"/>
  <c r="W155" s="1"/>
  <c r="S95" i="24"/>
  <c r="M213" i="47"/>
  <c r="Y170" i="34"/>
  <c r="Y191"/>
  <c r="N154"/>
  <c r="N155" s="1"/>
  <c r="J95" i="24"/>
  <c r="Y169" i="34"/>
  <c r="Y190"/>
  <c r="Y194" s="1"/>
  <c r="Y196" s="1"/>
  <c r="X170"/>
  <c r="X191"/>
  <c r="X194" s="1"/>
  <c r="X196" s="1"/>
  <c r="P89" i="24"/>
  <c r="W294" i="35"/>
  <c r="Y352" i="29"/>
  <c r="Y354"/>
  <c r="Y353"/>
  <c r="U344"/>
  <c r="U213" i="46"/>
  <c r="X339" i="29"/>
  <c r="X360"/>
  <c r="V341"/>
  <c r="V362"/>
  <c r="W338"/>
  <c r="W359"/>
  <c r="V337"/>
  <c r="V358"/>
  <c r="V343"/>
  <c r="U325"/>
  <c r="U326" s="1"/>
  <c r="U365"/>
  <c r="V340"/>
  <c r="V361"/>
  <c r="X342"/>
  <c r="X363"/>
  <c r="W334"/>
  <c r="W335" s="1"/>
  <c r="W355"/>
  <c r="W356" s="1"/>
  <c r="V213" i="46"/>
  <c r="R89" i="24"/>
  <c r="V229" i="46"/>
  <c r="V232" s="1"/>
  <c r="V234" s="1"/>
  <c r="V250"/>
  <c r="U212" i="47"/>
  <c r="U213" s="1"/>
  <c r="Q83" i="24"/>
  <c r="W208" i="46"/>
  <c r="W186"/>
  <c r="V210" i="47"/>
  <c r="V228"/>
  <c r="V231" s="1"/>
  <c r="V233" s="1"/>
  <c r="W207"/>
  <c r="W249" s="1"/>
  <c r="W186"/>
  <c r="Y126" i="34"/>
  <c r="Z148"/>
  <c r="W232" i="45"/>
  <c r="X131" i="47"/>
  <c r="X136" s="1"/>
  <c r="X140" s="1"/>
  <c r="X130" i="45"/>
  <c r="X135" s="1"/>
  <c r="X139" s="1"/>
  <c r="X211" s="1"/>
  <c r="X253" s="1"/>
  <c r="X124" i="44"/>
  <c r="X129" s="1"/>
  <c r="X130" i="46"/>
  <c r="X135" s="1"/>
  <c r="X139" s="1"/>
  <c r="W288" i="29"/>
  <c r="W296" s="1"/>
  <c r="W316"/>
  <c r="V190" i="47"/>
  <c r="V188"/>
  <c r="Y333" i="29"/>
  <c r="Y331"/>
  <c r="Y332"/>
  <c r="W322"/>
  <c r="X313"/>
  <c r="X130" i="34"/>
  <c r="X173"/>
  <c r="X175" s="1"/>
  <c r="X152"/>
  <c r="Y173"/>
  <c r="Y152"/>
  <c r="Y164"/>
  <c r="Z89"/>
  <c r="V323" i="29"/>
  <c r="W314"/>
  <c r="S84" i="24" s="1"/>
  <c r="T301" i="29"/>
  <c r="Y198"/>
  <c r="Y206" s="1"/>
  <c r="Y318" s="1"/>
  <c r="Z24"/>
  <c r="Z190" s="1"/>
  <c r="Z198" s="1"/>
  <c r="W44"/>
  <c r="W213" s="1"/>
  <c r="W219" s="1"/>
  <c r="W319" s="1"/>
  <c r="X38"/>
  <c r="X221" s="1"/>
  <c r="X222" s="1"/>
  <c r="Y237" i="35"/>
  <c r="Y238" s="1"/>
  <c r="Y174"/>
  <c r="Y195"/>
  <c r="Y200" s="1"/>
  <c r="Y241"/>
  <c r="Y242" s="1"/>
  <c r="Y239"/>
  <c r="Y240" s="1"/>
  <c r="V290" i="29"/>
  <c r="V297" s="1"/>
  <c r="V301" s="1"/>
  <c r="U292"/>
  <c r="U293" s="1"/>
  <c r="Y193" i="35"/>
  <c r="Y198" s="1"/>
  <c r="Y194"/>
  <c r="Y199" s="1"/>
  <c r="X192"/>
  <c r="X197" s="1"/>
  <c r="X201" s="1"/>
  <c r="U305" i="29"/>
  <c r="U301"/>
  <c r="Z279"/>
  <c r="Y303"/>
  <c r="Z140"/>
  <c r="V300"/>
  <c r="V304"/>
  <c r="Z277"/>
  <c r="Y299"/>
  <c r="U278"/>
  <c r="V276"/>
  <c r="U280"/>
  <c r="W272"/>
  <c r="Z21"/>
  <c r="W41" i="31"/>
  <c r="Z35" i="29" s="1"/>
  <c r="Z253"/>
  <c r="Z254" s="1"/>
  <c r="Z111"/>
  <c r="Z255"/>
  <c r="Z256" s="1"/>
  <c r="V35" i="31"/>
  <c r="V36" s="1"/>
  <c r="Y36" i="29"/>
  <c r="Z105" i="31"/>
  <c r="Z106" s="1"/>
  <c r="Y106"/>
  <c r="X230" i="29"/>
  <c r="X235" s="1"/>
  <c r="X228"/>
  <c r="X233" s="1"/>
  <c r="X229"/>
  <c r="X234" s="1"/>
  <c r="Y143"/>
  <c r="Y126"/>
  <c r="X141"/>
  <c r="X145" s="1"/>
  <c r="X317" s="1"/>
  <c r="X125"/>
  <c r="X132" s="1"/>
  <c r="W237"/>
  <c r="W320" s="1"/>
  <c r="W40" i="31"/>
  <c r="Z34" i="29" s="1"/>
  <c r="W43" i="31"/>
  <c r="W42"/>
  <c r="Z25" i="29"/>
  <c r="Z112" s="1"/>
  <c r="V44" i="31"/>
  <c r="Y37" i="29"/>
  <c r="X269"/>
  <c r="X270" s="1"/>
  <c r="X267"/>
  <c r="X268" s="1"/>
  <c r="X231"/>
  <c r="X236" s="1"/>
  <c r="X265"/>
  <c r="X266" s="1"/>
  <c r="X210"/>
  <c r="Y131"/>
  <c r="Y144"/>
  <c r="Z193"/>
  <c r="Z197"/>
  <c r="Y109"/>
  <c r="Y259"/>
  <c r="Y260" s="1"/>
  <c r="Y242"/>
  <c r="Y321" s="1"/>
  <c r="Y261"/>
  <c r="Y262" s="1"/>
  <c r="X113" i="31"/>
  <c r="X22" s="1"/>
  <c r="X108"/>
  <c r="X17" s="1"/>
  <c r="AA20" i="29" s="1"/>
  <c r="AA108" s="1"/>
  <c r="AA124" s="1"/>
  <c r="X111" i="31"/>
  <c r="X20" s="1"/>
  <c r="AA23" i="29" s="1"/>
  <c r="X110" i="31"/>
  <c r="X19" s="1"/>
  <c r="AA22" i="29" s="1"/>
  <c r="AA110" s="1"/>
  <c r="AA142" s="1"/>
  <c r="X109" i="31"/>
  <c r="X18" s="1"/>
  <c r="X114"/>
  <c r="X23" s="1"/>
  <c r="AA26" i="29" s="1"/>
  <c r="AA195" s="1"/>
  <c r="X112" i="31"/>
  <c r="X21" s="1"/>
  <c r="X43" i="29"/>
  <c r="Z88" i="34"/>
  <c r="Y130"/>
  <c r="X128"/>
  <c r="AA85"/>
  <c r="AA90" s="1"/>
  <c r="AA72"/>
  <c r="AA74" s="1"/>
  <c r="AA84"/>
  <c r="AA86"/>
  <c r="AA91" s="1"/>
  <c r="Z76"/>
  <c r="Z77" s="1"/>
  <c r="X294" i="35" l="1"/>
  <c r="X154" i="34"/>
  <c r="X155" s="1"/>
  <c r="T95" i="24"/>
  <c r="Z169" i="34"/>
  <c r="Z190"/>
  <c r="U367" i="29"/>
  <c r="U346"/>
  <c r="Y273" i="35"/>
  <c r="Y315" s="1"/>
  <c r="Y244"/>
  <c r="Y154" i="34"/>
  <c r="U95" i="24"/>
  <c r="Z354" i="29"/>
  <c r="Z353"/>
  <c r="Z352"/>
  <c r="V344"/>
  <c r="V346" s="1"/>
  <c r="V365"/>
  <c r="V367" s="1"/>
  <c r="W340"/>
  <c r="W361"/>
  <c r="Y339"/>
  <c r="Y360"/>
  <c r="X334"/>
  <c r="X335" s="1"/>
  <c r="X355"/>
  <c r="X356" s="1"/>
  <c r="W341"/>
  <c r="W362"/>
  <c r="X338"/>
  <c r="X359"/>
  <c r="V325"/>
  <c r="R85" i="24"/>
  <c r="W343" i="29"/>
  <c r="W364"/>
  <c r="W337"/>
  <c r="W358"/>
  <c r="Y342"/>
  <c r="Y363"/>
  <c r="W211" i="46"/>
  <c r="W250"/>
  <c r="V212" i="47"/>
  <c r="R83" i="24"/>
  <c r="W229" i="46"/>
  <c r="W232" s="1"/>
  <c r="W234" s="1"/>
  <c r="W210" i="47"/>
  <c r="W228"/>
  <c r="X208" i="46"/>
  <c r="X250" s="1"/>
  <c r="X186"/>
  <c r="X186" i="47"/>
  <c r="X207"/>
  <c r="X249" s="1"/>
  <c r="AA148" i="34"/>
  <c r="X232" i="45"/>
  <c r="Y175" i="34"/>
  <c r="Y155"/>
  <c r="Z192" i="29"/>
  <c r="Z206" s="1"/>
  <c r="Z318" s="1"/>
  <c r="X314"/>
  <c r="T84" i="24" s="1"/>
  <c r="Y130" i="46"/>
  <c r="Y135" s="1"/>
  <c r="Y139" s="1"/>
  <c r="Y131" i="47"/>
  <c r="Y136" s="1"/>
  <c r="Y140" s="1"/>
  <c r="Y130" i="45"/>
  <c r="Y135" s="1"/>
  <c r="Y139" s="1"/>
  <c r="Y211" s="1"/>
  <c r="Y253" s="1"/>
  <c r="Y124" i="44"/>
  <c r="Y129" s="1"/>
  <c r="Y313" i="29"/>
  <c r="Y355" s="1"/>
  <c r="Y356" s="1"/>
  <c r="X288"/>
  <c r="X296" s="1"/>
  <c r="X316"/>
  <c r="Z332"/>
  <c r="Z333"/>
  <c r="Z331"/>
  <c r="W190" i="47"/>
  <c r="W188"/>
  <c r="Z92" i="34"/>
  <c r="Z126" s="1"/>
  <c r="Z164"/>
  <c r="AA89"/>
  <c r="W323" i="29"/>
  <c r="X322"/>
  <c r="X364" s="1"/>
  <c r="V280"/>
  <c r="AA140"/>
  <c r="V305"/>
  <c r="V292"/>
  <c r="V293" s="1"/>
  <c r="AA24"/>
  <c r="AA190" s="1"/>
  <c r="AA192" s="1"/>
  <c r="Z193" i="35"/>
  <c r="Z198" s="1"/>
  <c r="Z194"/>
  <c r="Z199" s="1"/>
  <c r="Y38" i="29"/>
  <c r="Y221" s="1"/>
  <c r="Y222" s="1"/>
  <c r="Y192" i="35"/>
  <c r="Y197" s="1"/>
  <c r="Y201" s="1"/>
  <c r="X44" i="29"/>
  <c r="X213" s="1"/>
  <c r="X219" s="1"/>
  <c r="X319" s="1"/>
  <c r="Z195" i="35"/>
  <c r="Z200" s="1"/>
  <c r="Z237"/>
  <c r="Z238" s="1"/>
  <c r="Z239"/>
  <c r="Z240" s="1"/>
  <c r="Z241"/>
  <c r="Z242" s="1"/>
  <c r="Z174"/>
  <c r="W304" i="29"/>
  <c r="W300"/>
  <c r="AA277"/>
  <c r="Z299"/>
  <c r="W290"/>
  <c r="W292" s="1"/>
  <c r="Z261"/>
  <c r="Z262" s="1"/>
  <c r="AA279"/>
  <c r="Z303"/>
  <c r="V278"/>
  <c r="W276"/>
  <c r="X272"/>
  <c r="AA21"/>
  <c r="X41" i="31"/>
  <c r="AA35" i="29" s="1"/>
  <c r="X42" i="31"/>
  <c r="X40"/>
  <c r="AA34" i="29" s="1"/>
  <c r="X43" i="31"/>
  <c r="AA25" i="29"/>
  <c r="AA112" s="1"/>
  <c r="Y125"/>
  <c r="Y132" s="1"/>
  <c r="Y141"/>
  <c r="Y145" s="1"/>
  <c r="Y317" s="1"/>
  <c r="Z36"/>
  <c r="W35" i="31"/>
  <c r="W36" s="1"/>
  <c r="Y112"/>
  <c r="Y21" s="1"/>
  <c r="Y108"/>
  <c r="Y17" s="1"/>
  <c r="AB20" i="29" s="1"/>
  <c r="AB108" s="1"/>
  <c r="AB124" s="1"/>
  <c r="Y109" i="31"/>
  <c r="Y18" s="1"/>
  <c r="Y114"/>
  <c r="Y23" s="1"/>
  <c r="AB26" i="29" s="1"/>
  <c r="AB195" s="1"/>
  <c r="Y110" i="31"/>
  <c r="Y19" s="1"/>
  <c r="AB22" i="29" s="1"/>
  <c r="AB110" s="1"/>
  <c r="AB142" s="1"/>
  <c r="Y113" i="31"/>
  <c r="Y22" s="1"/>
  <c r="Y111"/>
  <c r="Y20" s="1"/>
  <c r="AB23" i="29" s="1"/>
  <c r="Z109"/>
  <c r="Z259"/>
  <c r="Z260" s="1"/>
  <c r="Z242"/>
  <c r="Z321" s="1"/>
  <c r="AA193"/>
  <c r="AA197"/>
  <c r="Z131"/>
  <c r="Z144"/>
  <c r="Y43"/>
  <c r="AA255"/>
  <c r="AA256" s="1"/>
  <c r="AA253"/>
  <c r="AA254" s="1"/>
  <c r="AA111"/>
  <c r="Y228"/>
  <c r="Y233" s="1"/>
  <c r="Y230"/>
  <c r="Y235" s="1"/>
  <c r="Y229"/>
  <c r="Y234" s="1"/>
  <c r="X237"/>
  <c r="X320" s="1"/>
  <c r="Y265"/>
  <c r="Y266" s="1"/>
  <c r="Y267"/>
  <c r="Y268" s="1"/>
  <c r="Y231"/>
  <c r="Y236" s="1"/>
  <c r="Y269"/>
  <c r="Y270" s="1"/>
  <c r="Y210"/>
  <c r="W44" i="31"/>
  <c r="Z37" i="29"/>
  <c r="Z113" i="31"/>
  <c r="Z22" s="1"/>
  <c r="Z110"/>
  <c r="Z19" s="1"/>
  <c r="AC22" i="29" s="1"/>
  <c r="Z111" i="31"/>
  <c r="Z20" s="1"/>
  <c r="AC23" i="29" s="1"/>
  <c r="Z112" i="31"/>
  <c r="Z21" s="1"/>
  <c r="Z108"/>
  <c r="Z17" s="1"/>
  <c r="AC20" i="29" s="1"/>
  <c r="Z114" i="31"/>
  <c r="Z23" s="1"/>
  <c r="AC26" i="29" s="1"/>
  <c r="Z109" i="31"/>
  <c r="Z18" s="1"/>
  <c r="Z143" i="29"/>
  <c r="Z126"/>
  <c r="Y128" i="34"/>
  <c r="AA88"/>
  <c r="AC72"/>
  <c r="AC74" s="1"/>
  <c r="AC84"/>
  <c r="AC86"/>
  <c r="AC91" s="1"/>
  <c r="AC85"/>
  <c r="AC90" s="1"/>
  <c r="AB84"/>
  <c r="AB86"/>
  <c r="AB91" s="1"/>
  <c r="AB72"/>
  <c r="AB74" s="1"/>
  <c r="AB85"/>
  <c r="AB90" s="1"/>
  <c r="AA76"/>
  <c r="AA77" s="1"/>
  <c r="Y294" i="35" l="1"/>
  <c r="Z244"/>
  <c r="Z273"/>
  <c r="Z315" s="1"/>
  <c r="V213" i="47"/>
  <c r="AA169" i="34"/>
  <c r="AA190"/>
  <c r="V326" i="29"/>
  <c r="W344"/>
  <c r="W346" s="1"/>
  <c r="AA353"/>
  <c r="AA354"/>
  <c r="AA352"/>
  <c r="X343"/>
  <c r="Y334"/>
  <c r="Y335" s="1"/>
  <c r="X340"/>
  <c r="X361"/>
  <c r="Y338"/>
  <c r="Y359"/>
  <c r="Z339"/>
  <c r="Z360"/>
  <c r="X337"/>
  <c r="X358"/>
  <c r="X341"/>
  <c r="X362"/>
  <c r="W365"/>
  <c r="Y322"/>
  <c r="Y364" s="1"/>
  <c r="AA198"/>
  <c r="AA206" s="1"/>
  <c r="AA318" s="1"/>
  <c r="Y314"/>
  <c r="U84" i="24" s="1"/>
  <c r="Z342" i="29"/>
  <c r="Z363"/>
  <c r="W325"/>
  <c r="S85" i="24"/>
  <c r="W213" i="46"/>
  <c r="S89" i="24"/>
  <c r="W212" i="47"/>
  <c r="W213" s="1"/>
  <c r="S83" i="24"/>
  <c r="X229" i="46"/>
  <c r="X232" s="1"/>
  <c r="X234" s="1"/>
  <c r="X211"/>
  <c r="W326" i="29"/>
  <c r="W231" i="47"/>
  <c r="W233" s="1"/>
  <c r="X210"/>
  <c r="X228"/>
  <c r="X231" s="1"/>
  <c r="X233" s="1"/>
  <c r="Y208" i="46"/>
  <c r="Y186"/>
  <c r="Y186" i="47"/>
  <c r="Y207"/>
  <c r="Y249" s="1"/>
  <c r="AB148" i="34"/>
  <c r="AC148"/>
  <c r="Y232" i="45"/>
  <c r="Z130"/>
  <c r="Z135" s="1"/>
  <c r="Z139" s="1"/>
  <c r="Z211" s="1"/>
  <c r="Z253" s="1"/>
  <c r="Z124" i="44"/>
  <c r="Z129" s="1"/>
  <c r="Z130" i="46"/>
  <c r="Z135" s="1"/>
  <c r="Z139" s="1"/>
  <c r="Z131" i="47"/>
  <c r="Z136" s="1"/>
  <c r="Z140" s="1"/>
  <c r="AA332" i="29"/>
  <c r="AA331"/>
  <c r="AA333"/>
  <c r="AD23"/>
  <c r="X190" i="47"/>
  <c r="X188"/>
  <c r="W297" i="29"/>
  <c r="W305" s="1"/>
  <c r="Y288"/>
  <c r="Y296" s="1"/>
  <c r="Y316"/>
  <c r="Z130" i="34"/>
  <c r="Z149"/>
  <c r="AA92"/>
  <c r="AA126" s="1"/>
  <c r="AB89"/>
  <c r="AA164"/>
  <c r="AC89"/>
  <c r="X323" i="29"/>
  <c r="Z313"/>
  <c r="AB24"/>
  <c r="AB190" s="1"/>
  <c r="AB198" s="1"/>
  <c r="AC24"/>
  <c r="AA237" i="35"/>
  <c r="AA238" s="1"/>
  <c r="AA239"/>
  <c r="AA240" s="1"/>
  <c r="AA241"/>
  <c r="AA242" s="1"/>
  <c r="AA174"/>
  <c r="AA195"/>
  <c r="AA200" s="1"/>
  <c r="Z192"/>
  <c r="Z197" s="1"/>
  <c r="Z201" s="1"/>
  <c r="Y44" i="29"/>
  <c r="Y213" s="1"/>
  <c r="Y219" s="1"/>
  <c r="Y319" s="1"/>
  <c r="Z38"/>
  <c r="Z221" s="1"/>
  <c r="Z222" s="1"/>
  <c r="AA194" i="35"/>
  <c r="AA199" s="1"/>
  <c r="AA193"/>
  <c r="AA198" s="1"/>
  <c r="AC190" i="29"/>
  <c r="AC108"/>
  <c r="AC140" s="1"/>
  <c r="AD20"/>
  <c r="X304"/>
  <c r="X300"/>
  <c r="AB279"/>
  <c r="AA303"/>
  <c r="AC195"/>
  <c r="AD195" s="1"/>
  <c r="AD26"/>
  <c r="AC110"/>
  <c r="AD22"/>
  <c r="X290"/>
  <c r="X297" s="1"/>
  <c r="AB140"/>
  <c r="AB277"/>
  <c r="AA299"/>
  <c r="W293"/>
  <c r="W278"/>
  <c r="W280"/>
  <c r="Y237"/>
  <c r="Y320" s="1"/>
  <c r="Z42" i="31"/>
  <c r="Z43"/>
  <c r="AC25" i="29"/>
  <c r="Z40" i="31"/>
  <c r="AC34" i="29" s="1"/>
  <c r="AB255"/>
  <c r="AB256" s="1"/>
  <c r="AB253"/>
  <c r="AB254" s="1"/>
  <c r="AB111"/>
  <c r="Y41" i="31"/>
  <c r="AB35" i="29" s="1"/>
  <c r="AB21"/>
  <c r="Z228"/>
  <c r="Z233" s="1"/>
  <c r="Z229"/>
  <c r="Z234" s="1"/>
  <c r="Z230"/>
  <c r="Z235" s="1"/>
  <c r="X44" i="31"/>
  <c r="AA37" i="29"/>
  <c r="AA109"/>
  <c r="AA242"/>
  <c r="AA321" s="1"/>
  <c r="AA261"/>
  <c r="AA262" s="1"/>
  <c r="AA259"/>
  <c r="AA260" s="1"/>
  <c r="Z141"/>
  <c r="Z145" s="1"/>
  <c r="Z317" s="1"/>
  <c r="Z125"/>
  <c r="Z132" s="1"/>
  <c r="AB193"/>
  <c r="AB197"/>
  <c r="Z43"/>
  <c r="AA131"/>
  <c r="AA144"/>
  <c r="Y272"/>
  <c r="Z41" i="31"/>
  <c r="AC35" i="29" s="1"/>
  <c r="AC21"/>
  <c r="AC255"/>
  <c r="AC111"/>
  <c r="AC253"/>
  <c r="AA36"/>
  <c r="X35" i="31"/>
  <c r="X36" s="1"/>
  <c r="Z267" i="29"/>
  <c r="Z268" s="1"/>
  <c r="Z265"/>
  <c r="Z266" s="1"/>
  <c r="Z231"/>
  <c r="Z236" s="1"/>
  <c r="Z269"/>
  <c r="Z270" s="1"/>
  <c r="Z210"/>
  <c r="AA143"/>
  <c r="AA126"/>
  <c r="AB25"/>
  <c r="AB112" s="1"/>
  <c r="Y42" i="31"/>
  <c r="Y40"/>
  <c r="AB34" i="29" s="1"/>
  <c r="Y43" i="31"/>
  <c r="X276" i="29"/>
  <c r="AB88" i="34"/>
  <c r="AC88"/>
  <c r="AC76"/>
  <c r="AC77" s="1"/>
  <c r="AB76"/>
  <c r="AB77" s="1"/>
  <c r="Z294" i="35" l="1"/>
  <c r="W367" i="29"/>
  <c r="AA244" i="35"/>
  <c r="AA273"/>
  <c r="AA315" s="1"/>
  <c r="AB169" i="34"/>
  <c r="AB190"/>
  <c r="Z170"/>
  <c r="Z173" s="1"/>
  <c r="Z175" s="1"/>
  <c r="Z191"/>
  <c r="Z194" s="1"/>
  <c r="Z196" s="1"/>
  <c r="AC169"/>
  <c r="AC190"/>
  <c r="AB353" i="29"/>
  <c r="AB352"/>
  <c r="AB354"/>
  <c r="Y343"/>
  <c r="AB192"/>
  <c r="X344"/>
  <c r="X346" s="1"/>
  <c r="AA339"/>
  <c r="AA360"/>
  <c r="Z334"/>
  <c r="Z335" s="1"/>
  <c r="Z355"/>
  <c r="Z356" s="1"/>
  <c r="Z338"/>
  <c r="Z359"/>
  <c r="Y341"/>
  <c r="Y362"/>
  <c r="Y340"/>
  <c r="Y361"/>
  <c r="AA342"/>
  <c r="AA363"/>
  <c r="AD190"/>
  <c r="AD24"/>
  <c r="Z314"/>
  <c r="V84" i="24" s="1"/>
  <c r="X365" i="29"/>
  <c r="X367" s="1"/>
  <c r="W301"/>
  <c r="X325"/>
  <c r="X326" s="1"/>
  <c r="T85" i="24"/>
  <c r="Y337" i="29"/>
  <c r="Y358"/>
  <c r="X212" i="47"/>
  <c r="X213" s="1"/>
  <c r="T83" i="24"/>
  <c r="X213" i="46"/>
  <c r="T89" i="24"/>
  <c r="Y211" i="46"/>
  <c r="Y250"/>
  <c r="Y229"/>
  <c r="Y232" s="1"/>
  <c r="Y234" s="1"/>
  <c r="Z208"/>
  <c r="Z186"/>
  <c r="Y210" i="47"/>
  <c r="Y228"/>
  <c r="Z207"/>
  <c r="Z249" s="1"/>
  <c r="Z186"/>
  <c r="AC92" i="34"/>
  <c r="AC149" s="1"/>
  <c r="Z232" i="45"/>
  <c r="AA313" i="29"/>
  <c r="AA355" s="1"/>
  <c r="AA356" s="1"/>
  <c r="AC198"/>
  <c r="AD198" s="1"/>
  <c r="Z288"/>
  <c r="Z296" s="1"/>
  <c r="Z316"/>
  <c r="AB333"/>
  <c r="AB332"/>
  <c r="AB331"/>
  <c r="Y190" i="47"/>
  <c r="Y188"/>
  <c r="Y323" i="29"/>
  <c r="AA192" i="35"/>
  <c r="AA197" s="1"/>
  <c r="AA201" s="1"/>
  <c r="AA130" i="45"/>
  <c r="AA135" s="1"/>
  <c r="AA139" s="1"/>
  <c r="AA211" s="1"/>
  <c r="AA253" s="1"/>
  <c r="AA124" i="44"/>
  <c r="AA129" s="1"/>
  <c r="AA130" i="46"/>
  <c r="AA135" s="1"/>
  <c r="AA139" s="1"/>
  <c r="AA131" i="47"/>
  <c r="AA136" s="1"/>
  <c r="AA140" s="1"/>
  <c r="Z128" i="34"/>
  <c r="D169"/>
  <c r="H16" i="24" s="1"/>
  <c r="Z152" i="34"/>
  <c r="AC152"/>
  <c r="AA149"/>
  <c r="D172"/>
  <c r="H19" i="24" s="1"/>
  <c r="AB92" i="34"/>
  <c r="AB149" s="1"/>
  <c r="AB164"/>
  <c r="AC164"/>
  <c r="AA314" i="29"/>
  <c r="W84" i="24" s="1"/>
  <c r="Z322" i="29"/>
  <c r="AD111"/>
  <c r="AC192"/>
  <c r="AD35"/>
  <c r="AD140"/>
  <c r="AB194" i="35"/>
  <c r="AB199" s="1"/>
  <c r="AB193"/>
  <c r="AB198" s="1"/>
  <c r="Y290" i="29"/>
  <c r="Y292" s="1"/>
  <c r="Z44"/>
  <c r="Z213" s="1"/>
  <c r="Z219" s="1"/>
  <c r="Z319" s="1"/>
  <c r="AB195" i="35"/>
  <c r="AB200" s="1"/>
  <c r="AB237"/>
  <c r="AB238" s="1"/>
  <c r="AB239"/>
  <c r="AB240" s="1"/>
  <c r="AB241"/>
  <c r="AB242" s="1"/>
  <c r="AB174"/>
  <c r="AA38" i="29"/>
  <c r="AA221" s="1"/>
  <c r="AA222" s="1"/>
  <c r="AC194" i="35"/>
  <c r="AC193"/>
  <c r="AD31"/>
  <c r="AC174"/>
  <c r="AC241"/>
  <c r="AC195"/>
  <c r="AC239"/>
  <c r="AC237"/>
  <c r="AD32"/>
  <c r="X292" i="29"/>
  <c r="X293" s="1"/>
  <c r="X305"/>
  <c r="X301"/>
  <c r="AC254"/>
  <c r="AD254" s="1"/>
  <c r="AD253"/>
  <c r="Y304"/>
  <c r="Y300"/>
  <c r="AC261"/>
  <c r="AD21"/>
  <c r="AC112"/>
  <c r="AD112" s="1"/>
  <c r="AD25"/>
  <c r="AC256"/>
  <c r="AD255"/>
  <c r="AC193"/>
  <c r="AD193" s="1"/>
  <c r="AC197"/>
  <c r="AD197" s="1"/>
  <c r="AD34"/>
  <c r="AC277"/>
  <c r="AB299"/>
  <c r="AC124"/>
  <c r="AD124" s="1"/>
  <c r="AD108"/>
  <c r="AC142"/>
  <c r="AD142" s="1"/>
  <c r="AD110"/>
  <c r="AC279"/>
  <c r="AB303"/>
  <c r="Y276"/>
  <c r="AB206"/>
  <c r="AB318" s="1"/>
  <c r="X278"/>
  <c r="X280"/>
  <c r="Y35" i="31"/>
  <c r="Y36" s="1"/>
  <c r="AB36" i="29"/>
  <c r="AA229"/>
  <c r="AA234" s="1"/>
  <c r="AA228"/>
  <c r="AA233" s="1"/>
  <c r="AA230"/>
  <c r="AA235" s="1"/>
  <c r="AC126"/>
  <c r="AC143"/>
  <c r="AB109"/>
  <c r="AB259"/>
  <c r="AB260" s="1"/>
  <c r="AB242"/>
  <c r="AB321" s="1"/>
  <c r="AB261"/>
  <c r="AB262" s="1"/>
  <c r="AC36"/>
  <c r="Z35" i="31"/>
  <c r="Z36" s="1"/>
  <c r="AA43" i="29"/>
  <c r="AA265"/>
  <c r="AA266" s="1"/>
  <c r="AA210"/>
  <c r="AA267"/>
  <c r="AA268" s="1"/>
  <c r="AA269"/>
  <c r="AA270" s="1"/>
  <c r="AA231"/>
  <c r="AA236" s="1"/>
  <c r="Z44" i="31"/>
  <c r="AC37" i="29"/>
  <c r="Z272"/>
  <c r="Z237"/>
  <c r="Z320" s="1"/>
  <c r="Y44" i="31"/>
  <c r="AB37" i="29"/>
  <c r="AC109"/>
  <c r="AC259"/>
  <c r="AC242"/>
  <c r="AC321" s="1"/>
  <c r="AA141"/>
  <c r="AA145" s="1"/>
  <c r="AA317" s="1"/>
  <c r="AA125"/>
  <c r="AA132" s="1"/>
  <c r="AB143"/>
  <c r="AB126"/>
  <c r="AC131"/>
  <c r="AB131"/>
  <c r="AB144"/>
  <c r="AA130" i="34"/>
  <c r="AD192" i="29" l="1"/>
  <c r="Y297"/>
  <c r="Y301" s="1"/>
  <c r="AC126" i="34"/>
  <c r="AA294" i="35"/>
  <c r="Z154" i="34"/>
  <c r="Z155" s="1"/>
  <c r="V95" i="24"/>
  <c r="D190" i="34"/>
  <c r="AB170"/>
  <c r="AB173" s="1"/>
  <c r="AB175" s="1"/>
  <c r="AB191"/>
  <c r="AB194" s="1"/>
  <c r="AB196" s="1"/>
  <c r="AC154"/>
  <c r="Y95" i="24"/>
  <c r="AA170" i="34"/>
  <c r="AA173" s="1"/>
  <c r="AA175" s="1"/>
  <c r="AA191"/>
  <c r="AA194" s="1"/>
  <c r="AA196" s="1"/>
  <c r="AC170"/>
  <c r="AC173" s="1"/>
  <c r="AC191"/>
  <c r="AB244" i="35"/>
  <c r="AB273"/>
  <c r="AB315" s="1"/>
  <c r="AC354" i="29"/>
  <c r="D354" s="1"/>
  <c r="C30" i="24" s="1"/>
  <c r="AC353" i="29"/>
  <c r="D353" s="1"/>
  <c r="C29" i="24" s="1"/>
  <c r="AC352" i="29"/>
  <c r="D352" s="1"/>
  <c r="C28" i="24" s="1"/>
  <c r="AA334" i="29"/>
  <c r="AA335" s="1"/>
  <c r="Y344"/>
  <c r="AB339"/>
  <c r="AB360"/>
  <c r="Z341"/>
  <c r="Z362"/>
  <c r="Y325"/>
  <c r="Y326" s="1"/>
  <c r="U85" i="24"/>
  <c r="Y365" i="29"/>
  <c r="Y367" s="1"/>
  <c r="Z343"/>
  <c r="Z364"/>
  <c r="AB342"/>
  <c r="AB363"/>
  <c r="AC342"/>
  <c r="AC363"/>
  <c r="Z340"/>
  <c r="Z361"/>
  <c r="Z337"/>
  <c r="Z358"/>
  <c r="AA338"/>
  <c r="AA359"/>
  <c r="Z211" i="46"/>
  <c r="Z250"/>
  <c r="Y213"/>
  <c r="U89" i="24"/>
  <c r="Y212" i="47"/>
  <c r="Y213" s="1"/>
  <c r="U83" i="24"/>
  <c r="Z210" i="47"/>
  <c r="Z228"/>
  <c r="Z231" s="1"/>
  <c r="Z233" s="1"/>
  <c r="AA208" i="46"/>
  <c r="AA186"/>
  <c r="Z229"/>
  <c r="Z232" s="1"/>
  <c r="Z234" s="1"/>
  <c r="AA207" i="47"/>
  <c r="AA249" s="1"/>
  <c r="AA186"/>
  <c r="Y231"/>
  <c r="Y233" s="1"/>
  <c r="AB126" i="34"/>
  <c r="AB294" i="35"/>
  <c r="AA232" i="45"/>
  <c r="AC155" i="34"/>
  <c r="AB313" i="29"/>
  <c r="AB355" s="1"/>
  <c r="AB356" s="1"/>
  <c r="AC331"/>
  <c r="D331" s="1"/>
  <c r="AC333"/>
  <c r="D333" s="1"/>
  <c r="C9" i="24" s="1"/>
  <c r="AC332" i="29"/>
  <c r="D332" s="1"/>
  <c r="C8" i="24" s="1"/>
  <c r="Z190" i="47"/>
  <c r="Z188"/>
  <c r="AA288" i="29"/>
  <c r="AA296" s="1"/>
  <c r="AA316"/>
  <c r="AB131" i="47"/>
  <c r="AB136" s="1"/>
  <c r="AB140" s="1"/>
  <c r="AB130" i="45"/>
  <c r="AB135" s="1"/>
  <c r="AB139" s="1"/>
  <c r="AB211" s="1"/>
  <c r="AB253" s="1"/>
  <c r="AB124" i="44"/>
  <c r="AB129" s="1"/>
  <c r="AB130" i="46"/>
  <c r="AB135" s="1"/>
  <c r="AB139" s="1"/>
  <c r="AC144" i="29"/>
  <c r="AD144" s="1"/>
  <c r="Z323"/>
  <c r="AC130" i="46"/>
  <c r="AC131" i="47"/>
  <c r="AC130" i="45"/>
  <c r="AC124" i="44"/>
  <c r="AA128" i="34"/>
  <c r="AA152"/>
  <c r="AB152"/>
  <c r="AC175"/>
  <c r="E132"/>
  <c r="D163"/>
  <c r="AB334" i="29"/>
  <c r="AB335" s="1"/>
  <c r="AD256"/>
  <c r="E126" i="34"/>
  <c r="AC128"/>
  <c r="AA322" i="29"/>
  <c r="Y280"/>
  <c r="Z290"/>
  <c r="Z297" s="1"/>
  <c r="Z305" s="1"/>
  <c r="AD242"/>
  <c r="AG26" s="1"/>
  <c r="AA44"/>
  <c r="AA213" s="1"/>
  <c r="AA219" s="1"/>
  <c r="AA319" s="1"/>
  <c r="AC200" i="35"/>
  <c r="AD200" s="1"/>
  <c r="AD195"/>
  <c r="AB192"/>
  <c r="AB197" s="1"/>
  <c r="AB201" s="1"/>
  <c r="AC240"/>
  <c r="AD240" s="1"/>
  <c r="AD239"/>
  <c r="AD36" i="29"/>
  <c r="AC192" i="35"/>
  <c r="AC238"/>
  <c r="AD237"/>
  <c r="AD174"/>
  <c r="AC198"/>
  <c r="AD198" s="1"/>
  <c r="AD193"/>
  <c r="AC206" i="29"/>
  <c r="AC199" i="35"/>
  <c r="AD199" s="1"/>
  <c r="AD194"/>
  <c r="AB38" i="29"/>
  <c r="AB221" s="1"/>
  <c r="AB222" s="1"/>
  <c r="AC38"/>
  <c r="AC242" i="35"/>
  <c r="AD242" s="1"/>
  <c r="AD241"/>
  <c r="Z300" i="29"/>
  <c r="Z304"/>
  <c r="AC262"/>
  <c r="AD262" s="1"/>
  <c r="AD261"/>
  <c r="AC260"/>
  <c r="AD260" s="1"/>
  <c r="AD259"/>
  <c r="AC299"/>
  <c r="AD299" s="1"/>
  <c r="AE277"/>
  <c r="AD131"/>
  <c r="AD37"/>
  <c r="AD126"/>
  <c r="Y305"/>
  <c r="AC303"/>
  <c r="AD303" s="1"/>
  <c r="AE279"/>
  <c r="AD109"/>
  <c r="AD143"/>
  <c r="Y293"/>
  <c r="Y278"/>
  <c r="Z276"/>
  <c r="AB265"/>
  <c r="AB266" s="1"/>
  <c r="AB210"/>
  <c r="AB267"/>
  <c r="AB268" s="1"/>
  <c r="AB231"/>
  <c r="AB236" s="1"/>
  <c r="AB269"/>
  <c r="AB270" s="1"/>
  <c r="AC269"/>
  <c r="AC231"/>
  <c r="AC265"/>
  <c r="AC210"/>
  <c r="AC267"/>
  <c r="AB230"/>
  <c r="AB235" s="1"/>
  <c r="AB228"/>
  <c r="AB233" s="1"/>
  <c r="AB229"/>
  <c r="AB234" s="1"/>
  <c r="AC125"/>
  <c r="AC141"/>
  <c r="AC230"/>
  <c r="AC229"/>
  <c r="AC228"/>
  <c r="AB141"/>
  <c r="AB145" s="1"/>
  <c r="AB317" s="1"/>
  <c r="AB125"/>
  <c r="AB132" s="1"/>
  <c r="AA272"/>
  <c r="AA237"/>
  <c r="AA320" s="1"/>
  <c r="AC43"/>
  <c r="AB43"/>
  <c r="AB130" i="34"/>
  <c r="AC130"/>
  <c r="D191" l="1"/>
  <c r="H38" i="24" s="1"/>
  <c r="AA154" i="34"/>
  <c r="AA155" s="1"/>
  <c r="W95" i="24"/>
  <c r="Y346" i="29"/>
  <c r="D175" i="34"/>
  <c r="AC194"/>
  <c r="AC196" s="1"/>
  <c r="D196" s="1"/>
  <c r="H43" i="24" s="1"/>
  <c r="AC273" i="35"/>
  <c r="AC315" s="1"/>
  <c r="D315" s="1"/>
  <c r="G40" i="24" s="1"/>
  <c r="AC244" i="35"/>
  <c r="AB154" i="34"/>
  <c r="X95" i="24"/>
  <c r="H37"/>
  <c r="Z344" i="29"/>
  <c r="Z346" s="1"/>
  <c r="D342"/>
  <c r="C18" i="24" s="1"/>
  <c r="D363" i="29"/>
  <c r="C39" i="24" s="1"/>
  <c r="AB314" i="29"/>
  <c r="X84" i="24" s="1"/>
  <c r="AA343" i="29"/>
  <c r="AA364"/>
  <c r="Z365"/>
  <c r="Z367" s="1"/>
  <c r="AB338"/>
  <c r="AB359"/>
  <c r="Z325"/>
  <c r="Z326" s="1"/>
  <c r="V85" i="24"/>
  <c r="AA337" i="29"/>
  <c r="AA358"/>
  <c r="AA340"/>
  <c r="AA361"/>
  <c r="AA341"/>
  <c r="AA362"/>
  <c r="Z212" i="47"/>
  <c r="Z213" s="1"/>
  <c r="V83" i="24"/>
  <c r="Z213" i="46"/>
  <c r="V89" i="24"/>
  <c r="AA211" i="46"/>
  <c r="AA250"/>
  <c r="AA229"/>
  <c r="AA232" s="1"/>
  <c r="AA234" s="1"/>
  <c r="AB208"/>
  <c r="AB186"/>
  <c r="AB186" i="47"/>
  <c r="AB207"/>
  <c r="AB249" s="1"/>
  <c r="AA210"/>
  <c r="AA228"/>
  <c r="AA231" s="1"/>
  <c r="AA233" s="1"/>
  <c r="D159" i="34"/>
  <c r="H6" i="24" s="1"/>
  <c r="H10"/>
  <c r="AB211" i="46"/>
  <c r="AB232" i="45"/>
  <c r="Z301" i="29"/>
  <c r="AC135" i="45"/>
  <c r="AD130"/>
  <c r="AC129" i="44"/>
  <c r="AD124"/>
  <c r="AA188" i="47"/>
  <c r="AA190"/>
  <c r="AB322" i="29"/>
  <c r="AB364" s="1"/>
  <c r="AD206"/>
  <c r="AG22" s="1"/>
  <c r="AC318"/>
  <c r="AC135" i="46"/>
  <c r="AD130"/>
  <c r="AC136" i="47"/>
  <c r="AD131"/>
  <c r="C7" i="24"/>
  <c r="AA323" i="29"/>
  <c r="AB288"/>
  <c r="AB296" s="1"/>
  <c r="AB316"/>
  <c r="AB128" i="34"/>
  <c r="E128" s="1"/>
  <c r="D170"/>
  <c r="AC313" i="29"/>
  <c r="AD38"/>
  <c r="Z292"/>
  <c r="Z293" s="1"/>
  <c r="AD210"/>
  <c r="AB44"/>
  <c r="AB213" s="1"/>
  <c r="AB219" s="1"/>
  <c r="AB319" s="1"/>
  <c r="AD244" i="35"/>
  <c r="AG27" s="1"/>
  <c r="AD238"/>
  <c r="AC221" i="29"/>
  <c r="AD221" s="1"/>
  <c r="AC44"/>
  <c r="AC213" s="1"/>
  <c r="AC197" i="35"/>
  <c r="AD192"/>
  <c r="AC233" i="29"/>
  <c r="AD233" s="1"/>
  <c r="AD228"/>
  <c r="AC268"/>
  <c r="AD268" s="1"/>
  <c r="AD267"/>
  <c r="AC270"/>
  <c r="AD269"/>
  <c r="AC235"/>
  <c r="AD235" s="1"/>
  <c r="AD230"/>
  <c r="AC266"/>
  <c r="AD266" s="1"/>
  <c r="AD265"/>
  <c r="AF277"/>
  <c r="AE299"/>
  <c r="AD43"/>
  <c r="AA304"/>
  <c r="AA300"/>
  <c r="AC132"/>
  <c r="AC316" s="1"/>
  <c r="AD125"/>
  <c r="AC234"/>
  <c r="AD234" s="1"/>
  <c r="AD229"/>
  <c r="AC145"/>
  <c r="AD141"/>
  <c r="AC236"/>
  <c r="AD236" s="1"/>
  <c r="AD231"/>
  <c r="AE303"/>
  <c r="AF279"/>
  <c r="AA290"/>
  <c r="AA292" s="1"/>
  <c r="Z280"/>
  <c r="AA276"/>
  <c r="Z278"/>
  <c r="AB237"/>
  <c r="AB320" s="1"/>
  <c r="AB272"/>
  <c r="E130" i="34"/>
  <c r="D186" l="1"/>
  <c r="H33" i="24" s="1"/>
  <c r="D197" i="34"/>
  <c r="H44" i="24" s="1"/>
  <c r="AC294" i="35"/>
  <c r="D294" s="1"/>
  <c r="G19" i="24" s="1"/>
  <c r="D195" i="34"/>
  <c r="H42" i="24" s="1"/>
  <c r="AB155" i="34"/>
  <c r="D154"/>
  <c r="H22" i="24" s="1"/>
  <c r="AA344" i="29"/>
  <c r="AA346" s="1"/>
  <c r="AB343"/>
  <c r="AC337"/>
  <c r="AC358"/>
  <c r="AA325"/>
  <c r="AA326" s="1"/>
  <c r="W85" i="24"/>
  <c r="AA365" i="29"/>
  <c r="AA367" s="1"/>
  <c r="AB340"/>
  <c r="AB361"/>
  <c r="AC355"/>
  <c r="AC339"/>
  <c r="D339" s="1"/>
  <c r="C15" i="24" s="1"/>
  <c r="AC360" i="29"/>
  <c r="D360" s="1"/>
  <c r="C36" i="24" s="1"/>
  <c r="AB341" i="29"/>
  <c r="AB362"/>
  <c r="AB337"/>
  <c r="AB358"/>
  <c r="AB213" i="46"/>
  <c r="X89" i="24"/>
  <c r="AA212" i="47"/>
  <c r="AA213" s="1"/>
  <c r="W83" i="24"/>
  <c r="AB229" i="46"/>
  <c r="AB232" s="1"/>
  <c r="AB234" s="1"/>
  <c r="AB250"/>
  <c r="AA213"/>
  <c r="W89" i="24"/>
  <c r="AB210" i="47"/>
  <c r="AB228"/>
  <c r="D165" i="34"/>
  <c r="H12" i="24" s="1"/>
  <c r="H17"/>
  <c r="AD213" i="29"/>
  <c r="AD44"/>
  <c r="AD145"/>
  <c r="AC317"/>
  <c r="AB190" i="47"/>
  <c r="AB188"/>
  <c r="AC139" i="46"/>
  <c r="AD135"/>
  <c r="AC139" i="45"/>
  <c r="AC211" s="1"/>
  <c r="AC253" s="1"/>
  <c r="AD135"/>
  <c r="AB323" i="29"/>
  <c r="AC140" i="47"/>
  <c r="AD136"/>
  <c r="AD129" i="44"/>
  <c r="D176" i="34"/>
  <c r="H23" i="24" s="1"/>
  <c r="AC334" i="29"/>
  <c r="D334" s="1"/>
  <c r="AD270"/>
  <c r="AC322"/>
  <c r="AC364" s="1"/>
  <c r="D364" s="1"/>
  <c r="C40" i="24" s="1"/>
  <c r="AC222" i="29"/>
  <c r="AD222" s="1"/>
  <c r="AG24" s="1"/>
  <c r="AC219"/>
  <c r="AC201" i="35"/>
  <c r="AD197"/>
  <c r="AA297" i="29"/>
  <c r="AA301" s="1"/>
  <c r="AF299"/>
  <c r="AG277"/>
  <c r="AG279"/>
  <c r="AF303"/>
  <c r="AB304"/>
  <c r="AB300"/>
  <c r="AC272"/>
  <c r="AD272" s="1"/>
  <c r="AG27" s="1"/>
  <c r="AB290"/>
  <c r="AB292" s="1"/>
  <c r="AC237"/>
  <c r="AC288"/>
  <c r="AD132"/>
  <c r="AG20" s="1"/>
  <c r="AA278"/>
  <c r="AA293"/>
  <c r="AA280"/>
  <c r="AB276"/>
  <c r="AB344" l="1"/>
  <c r="AB346" s="1"/>
  <c r="D355"/>
  <c r="D337"/>
  <c r="C13" i="24" s="1"/>
  <c r="AC338" i="29"/>
  <c r="D338" s="1"/>
  <c r="C14" i="24" s="1"/>
  <c r="AC359" i="29"/>
  <c r="D359" s="1"/>
  <c r="D358"/>
  <c r="AB365"/>
  <c r="AB367" s="1"/>
  <c r="AB325"/>
  <c r="X85" i="24"/>
  <c r="AB212" i="47"/>
  <c r="AB213" s="1"/>
  <c r="X83" i="24"/>
  <c r="AB326" i="29"/>
  <c r="AC208" i="46"/>
  <c r="AC229" s="1"/>
  <c r="AC186"/>
  <c r="AC186" i="47"/>
  <c r="AC207"/>
  <c r="AC249" s="1"/>
  <c r="AB231"/>
  <c r="AB233" s="1"/>
  <c r="AD201" i="35"/>
  <c r="AG25" s="1"/>
  <c r="AC232" i="45"/>
  <c r="AD237" i="29"/>
  <c r="AG25" s="1"/>
  <c r="AC320"/>
  <c r="AD219"/>
  <c r="AG23" s="1"/>
  <c r="AC319"/>
  <c r="AD139" i="45"/>
  <c r="AD139" i="46"/>
  <c r="AD140" i="47"/>
  <c r="C10" i="24"/>
  <c r="D330" i="29"/>
  <c r="C6" i="24" s="1"/>
  <c r="AC343" i="29"/>
  <c r="AA305"/>
  <c r="AG33"/>
  <c r="AC276"/>
  <c r="E276" s="1"/>
  <c r="AB297"/>
  <c r="AB301" s="1"/>
  <c r="AD288"/>
  <c r="AC296"/>
  <c r="AD296" s="1"/>
  <c r="AH277"/>
  <c r="AG299"/>
  <c r="AH279"/>
  <c r="AG303"/>
  <c r="AC290"/>
  <c r="AB278"/>
  <c r="AB293"/>
  <c r="AB280"/>
  <c r="AG28" l="1"/>
  <c r="AC341"/>
  <c r="D341" s="1"/>
  <c r="C17" i="24" s="1"/>
  <c r="AC362" i="29"/>
  <c r="D362" s="1"/>
  <c r="C38" i="24" s="1"/>
  <c r="C35"/>
  <c r="C31"/>
  <c r="D351" i="29"/>
  <c r="C27" i="24" s="1"/>
  <c r="AC340" i="29"/>
  <c r="D340" s="1"/>
  <c r="C16" i="24" s="1"/>
  <c r="AC361" i="29"/>
  <c r="C34" i="24"/>
  <c r="AC211" i="46"/>
  <c r="AC250"/>
  <c r="AC210" i="47"/>
  <c r="AC228"/>
  <c r="AC232" i="46"/>
  <c r="AC234" s="1"/>
  <c r="D229"/>
  <c r="D232" i="45"/>
  <c r="D17" i="24" s="1"/>
  <c r="AC188" i="47"/>
  <c r="AC190"/>
  <c r="E186"/>
  <c r="AD186"/>
  <c r="E192"/>
  <c r="D343" i="29"/>
  <c r="E282"/>
  <c r="AC280"/>
  <c r="E280" s="1"/>
  <c r="AD276"/>
  <c r="AC278"/>
  <c r="AD278" s="1"/>
  <c r="AB305"/>
  <c r="AH303"/>
  <c r="AI279"/>
  <c r="AC304"/>
  <c r="AD304" s="1"/>
  <c r="AC300"/>
  <c r="AD300" s="1"/>
  <c r="AE296"/>
  <c r="BK296" s="1"/>
  <c r="AC314" s="1"/>
  <c r="Y84" i="24" s="1"/>
  <c r="AI277" i="29"/>
  <c r="AH299"/>
  <c r="AC297"/>
  <c r="AD297" s="1"/>
  <c r="AD290"/>
  <c r="AC292"/>
  <c r="AC293" s="1"/>
  <c r="D361" l="1"/>
  <c r="AC213" i="46"/>
  <c r="Y89" i="24"/>
  <c r="AC212" i="47"/>
  <c r="Y83" i="24"/>
  <c r="AD302" i="29"/>
  <c r="AD306"/>
  <c r="D212" i="47"/>
  <c r="E17" i="24"/>
  <c r="AC231" i="47"/>
  <c r="AC233" s="1"/>
  <c r="D233" s="1"/>
  <c r="D228"/>
  <c r="E188"/>
  <c r="AD188"/>
  <c r="AD190"/>
  <c r="E190"/>
  <c r="C19" i="24"/>
  <c r="D336" i="29"/>
  <c r="C12" i="24" s="1"/>
  <c r="AD280" i="29"/>
  <c r="E278"/>
  <c r="AE304"/>
  <c r="AE300"/>
  <c r="AJ279"/>
  <c r="AI303"/>
  <c r="AI299"/>
  <c r="AJ277"/>
  <c r="AC305"/>
  <c r="AD305" s="1"/>
  <c r="AC301"/>
  <c r="AD301" s="1"/>
  <c r="AE297"/>
  <c r="BK297" s="1"/>
  <c r="AC323" s="1"/>
  <c r="AC325" s="1"/>
  <c r="AF300"/>
  <c r="AF304"/>
  <c r="AC326" l="1"/>
  <c r="D345"/>
  <c r="C21" i="24" s="1"/>
  <c r="D366" i="29"/>
  <c r="C42" i="24" s="1"/>
  <c r="D325" i="29"/>
  <c r="D326"/>
  <c r="Y85" i="24"/>
  <c r="AC213" i="47"/>
  <c r="D253"/>
  <c r="B42" i="24" s="1"/>
  <c r="C37"/>
  <c r="D357" i="29"/>
  <c r="C33" i="24" s="1"/>
  <c r="B22"/>
  <c r="D234" i="47"/>
  <c r="B23" i="24" s="1"/>
  <c r="D223" i="47"/>
  <c r="B12" i="24" s="1"/>
  <c r="B17"/>
  <c r="AG300" i="29"/>
  <c r="AG304"/>
  <c r="AG305"/>
  <c r="AG301"/>
  <c r="AH304"/>
  <c r="AH300"/>
  <c r="AF301"/>
  <c r="AF305"/>
  <c r="AK277"/>
  <c r="AJ299"/>
  <c r="AE301"/>
  <c r="AE305"/>
  <c r="AK279"/>
  <c r="AJ303"/>
  <c r="AH305" l="1"/>
  <c r="AH301"/>
  <c r="AI305"/>
  <c r="AI301"/>
  <c r="AL279"/>
  <c r="AK303"/>
  <c r="AI300"/>
  <c r="AI304"/>
  <c r="AJ304"/>
  <c r="AJ300"/>
  <c r="AL277"/>
  <c r="AK299"/>
  <c r="AK301" l="1"/>
  <c r="AK305"/>
  <c r="AM277"/>
  <c r="AL299"/>
  <c r="AM279"/>
  <c r="AL303"/>
  <c r="AK300"/>
  <c r="AK304"/>
  <c r="AL301"/>
  <c r="AL305"/>
  <c r="AJ301"/>
  <c r="AJ305"/>
  <c r="AL300"/>
  <c r="AL304"/>
  <c r="AN279" l="1"/>
  <c r="AN304" s="1"/>
  <c r="AM303"/>
  <c r="AM305"/>
  <c r="AM301"/>
  <c r="AM300"/>
  <c r="AM304"/>
  <c r="AN277"/>
  <c r="AN300" s="1"/>
  <c r="AM299"/>
  <c r="AN301" l="1"/>
  <c r="AN305"/>
  <c r="AO277"/>
  <c r="AO300" s="1"/>
  <c r="AN299"/>
  <c r="AO279"/>
  <c r="AN303"/>
  <c r="AP279" l="1"/>
  <c r="AO303"/>
  <c r="AP277"/>
  <c r="AO299"/>
  <c r="AO305"/>
  <c r="AO301"/>
  <c r="AO304"/>
  <c r="AQ277" l="1"/>
  <c r="AP299"/>
  <c r="AP300"/>
  <c r="AP301"/>
  <c r="AQ279"/>
  <c r="AP303"/>
  <c r="AP305"/>
  <c r="AP304"/>
  <c r="AR279" l="1"/>
  <c r="AQ303"/>
  <c r="AQ305"/>
  <c r="AQ304"/>
  <c r="AR277"/>
  <c r="AQ299"/>
  <c r="AQ300"/>
  <c r="AQ301"/>
  <c r="AS279" l="1"/>
  <c r="AR303"/>
  <c r="AR305"/>
  <c r="AR304"/>
  <c r="AS277"/>
  <c r="AR299"/>
  <c r="AR300"/>
  <c r="AR301"/>
  <c r="AT277" l="1"/>
  <c r="AS299"/>
  <c r="AS301"/>
  <c r="AS300"/>
  <c r="AT279"/>
  <c r="AS303"/>
  <c r="AS305"/>
  <c r="AS304"/>
  <c r="AU279" l="1"/>
  <c r="AT303"/>
  <c r="AT305"/>
  <c r="AT304"/>
  <c r="AU277"/>
  <c r="AT299"/>
  <c r="AT301"/>
  <c r="AT300"/>
  <c r="AV277" l="1"/>
  <c r="AU299"/>
  <c r="AU300"/>
  <c r="AU301"/>
  <c r="AV279"/>
  <c r="AU303"/>
  <c r="AU305"/>
  <c r="AU304"/>
  <c r="AW279" l="1"/>
  <c r="AV303"/>
  <c r="AV305"/>
  <c r="AV304"/>
  <c r="AW277"/>
  <c r="AV299"/>
  <c r="AV301"/>
  <c r="AV300"/>
  <c r="AX277" l="1"/>
  <c r="AY277" s="1"/>
  <c r="AW299"/>
  <c r="AW301"/>
  <c r="AW300"/>
  <c r="AX279"/>
  <c r="AY279" s="1"/>
  <c r="AW303"/>
  <c r="AW305"/>
  <c r="AW304"/>
  <c r="AY303" l="1"/>
  <c r="AZ279"/>
  <c r="AY304"/>
  <c r="AY305"/>
  <c r="AZ277"/>
  <c r="AY301"/>
  <c r="AY300"/>
  <c r="AY299"/>
  <c r="AX303"/>
  <c r="AX305"/>
  <c r="AX304"/>
  <c r="AX299"/>
  <c r="AX300"/>
  <c r="AX301"/>
  <c r="BA279" l="1"/>
  <c r="AZ303"/>
  <c r="AZ305"/>
  <c r="AZ304"/>
  <c r="BA277"/>
  <c r="AZ301"/>
  <c r="AZ300"/>
  <c r="AZ299"/>
  <c r="D26" i="32"/>
  <c r="G38" i="35" s="1"/>
  <c r="BB279" i="29" l="1"/>
  <c r="BA305"/>
  <c r="BA304"/>
  <c r="BA303"/>
  <c r="BB277"/>
  <c r="BA300"/>
  <c r="BA299"/>
  <c r="BA301"/>
  <c r="BC277" l="1"/>
  <c r="BB300"/>
  <c r="BB299"/>
  <c r="BB301"/>
  <c r="BC279"/>
  <c r="BB304"/>
  <c r="BB305"/>
  <c r="BB303"/>
  <c r="G177" i="35"/>
  <c r="G183" s="1"/>
  <c r="G33"/>
  <c r="G185" s="1"/>
  <c r="G186" s="1"/>
  <c r="G271" s="1"/>
  <c r="BD279" i="29" l="1"/>
  <c r="BC303"/>
  <c r="BC304"/>
  <c r="BC305"/>
  <c r="BD277"/>
  <c r="BC301"/>
  <c r="BC300"/>
  <c r="BC299"/>
  <c r="G292" i="35"/>
  <c r="G313"/>
  <c r="G316" s="1"/>
  <c r="G318" s="1"/>
  <c r="G270"/>
  <c r="G312" s="1"/>
  <c r="G248"/>
  <c r="G250" s="1"/>
  <c r="BE277" i="29" l="1"/>
  <c r="BD301"/>
  <c r="BD300"/>
  <c r="BD299"/>
  <c r="BE279"/>
  <c r="BD303"/>
  <c r="BD305"/>
  <c r="BD304"/>
  <c r="G291" i="35"/>
  <c r="G295" s="1"/>
  <c r="G297" s="1"/>
  <c r="G274"/>
  <c r="G252"/>
  <c r="AC37"/>
  <c r="T26" i="32"/>
  <c r="P26"/>
  <c r="G26"/>
  <c r="R26"/>
  <c r="V26"/>
  <c r="H181" i="35"/>
  <c r="E26" i="32"/>
  <c r="N26"/>
  <c r="I26"/>
  <c r="K26"/>
  <c r="U26"/>
  <c r="Z26"/>
  <c r="Z27" s="1"/>
  <c r="Q26"/>
  <c r="L26"/>
  <c r="H26"/>
  <c r="O26"/>
  <c r="S26"/>
  <c r="X26"/>
  <c r="M26"/>
  <c r="J26"/>
  <c r="W26"/>
  <c r="Y26"/>
  <c r="BF279" i="29" l="1"/>
  <c r="BE305"/>
  <c r="BE304"/>
  <c r="BE303"/>
  <c r="BF277"/>
  <c r="BE300"/>
  <c r="BE299"/>
  <c r="BE301"/>
  <c r="G276" i="35"/>
  <c r="G277" s="1"/>
  <c r="C93" i="24"/>
  <c r="H263" i="35"/>
  <c r="H305" s="1"/>
  <c r="H307" s="1"/>
  <c r="T27" i="32"/>
  <c r="W39" i="35" s="1"/>
  <c r="W38"/>
  <c r="V38"/>
  <c r="S27" i="32"/>
  <c r="V39" i="35" s="1"/>
  <c r="M27" i="32"/>
  <c r="P39" i="35" s="1"/>
  <c r="P38"/>
  <c r="H27" i="32"/>
  <c r="K39" i="35" s="1"/>
  <c r="K177" s="1"/>
  <c r="K183" s="1"/>
  <c r="K270" s="1"/>
  <c r="K312" s="1"/>
  <c r="K38"/>
  <c r="U27" i="32"/>
  <c r="X39" i="35" s="1"/>
  <c r="X38"/>
  <c r="E27" i="32"/>
  <c r="H39" i="35" s="1"/>
  <c r="H38"/>
  <c r="J38"/>
  <c r="G27" i="32"/>
  <c r="J39" i="35" s="1"/>
  <c r="R38"/>
  <c r="O27" i="32"/>
  <c r="R39" i="35" s="1"/>
  <c r="R177" s="1"/>
  <c r="R183" s="1"/>
  <c r="R270" s="1"/>
  <c r="R312" s="1"/>
  <c r="R27" i="32"/>
  <c r="U39" i="35" s="1"/>
  <c r="U38"/>
  <c r="Z38"/>
  <c r="W27" i="32"/>
  <c r="Z39" i="35" s="1"/>
  <c r="Z177" s="1"/>
  <c r="Z183" s="1"/>
  <c r="Z270" s="1"/>
  <c r="Z312" s="1"/>
  <c r="Q27" i="32"/>
  <c r="T39" i="35" s="1"/>
  <c r="T38"/>
  <c r="I27" i="32"/>
  <c r="L39" i="35" s="1"/>
  <c r="L38"/>
  <c r="V27" i="32"/>
  <c r="Y39" i="35" s="1"/>
  <c r="Y38"/>
  <c r="J27" i="32"/>
  <c r="M39" i="35" s="1"/>
  <c r="M177" s="1"/>
  <c r="M183" s="1"/>
  <c r="M270" s="1"/>
  <c r="M312" s="1"/>
  <c r="M38"/>
  <c r="N27" i="32"/>
  <c r="Q39" i="35" s="1"/>
  <c r="Q38"/>
  <c r="Y27" i="32"/>
  <c r="AB39" i="35" s="1"/>
  <c r="AB38"/>
  <c r="X27" i="32"/>
  <c r="AA39" i="35" s="1"/>
  <c r="AA38"/>
  <c r="L27" i="32"/>
  <c r="O39" i="35" s="1"/>
  <c r="O38"/>
  <c r="N38"/>
  <c r="K27" i="32"/>
  <c r="N39" i="35" s="1"/>
  <c r="P27" i="32"/>
  <c r="S39" i="35" s="1"/>
  <c r="S177" s="1"/>
  <c r="S183" s="1"/>
  <c r="S270" s="1"/>
  <c r="S312" s="1"/>
  <c r="S38"/>
  <c r="Z33"/>
  <c r="Z185" s="1"/>
  <c r="Z186" s="1"/>
  <c r="Z271" s="1"/>
  <c r="S33"/>
  <c r="S185" s="1"/>
  <c r="S186" s="1"/>
  <c r="S271" s="1"/>
  <c r="X177"/>
  <c r="X183" s="1"/>
  <c r="X270" s="1"/>
  <c r="X312" s="1"/>
  <c r="X33"/>
  <c r="X185" s="1"/>
  <c r="X186" s="1"/>
  <c r="X271" s="1"/>
  <c r="K33"/>
  <c r="K185" s="1"/>
  <c r="K186" s="1"/>
  <c r="K271" s="1"/>
  <c r="M33"/>
  <c r="M185" s="1"/>
  <c r="M186" s="1"/>
  <c r="M271" s="1"/>
  <c r="T177"/>
  <c r="T183" s="1"/>
  <c r="T270" s="1"/>
  <c r="T312" s="1"/>
  <c r="T33"/>
  <c r="T185" s="1"/>
  <c r="T186" s="1"/>
  <c r="T271" s="1"/>
  <c r="R33"/>
  <c r="R185" s="1"/>
  <c r="R186" s="1"/>
  <c r="R271" s="1"/>
  <c r="H177"/>
  <c r="H183" s="1"/>
  <c r="H270" s="1"/>
  <c r="H312" s="1"/>
  <c r="H33"/>
  <c r="Y177"/>
  <c r="Y183" s="1"/>
  <c r="Y270" s="1"/>
  <c r="Y312" s="1"/>
  <c r="Y33"/>
  <c r="Y185" s="1"/>
  <c r="Y186" s="1"/>
  <c r="Y271" s="1"/>
  <c r="BG277" i="29" l="1"/>
  <c r="BF300"/>
  <c r="BF299"/>
  <c r="BF301"/>
  <c r="BG279"/>
  <c r="BF304"/>
  <c r="BF305"/>
  <c r="BF303"/>
  <c r="T292" i="35"/>
  <c r="T313"/>
  <c r="T316" s="1"/>
  <c r="T318" s="1"/>
  <c r="Z292"/>
  <c r="Z313"/>
  <c r="Z316" s="1"/>
  <c r="Z318" s="1"/>
  <c r="K292"/>
  <c r="K313"/>
  <c r="K316" s="1"/>
  <c r="K318" s="1"/>
  <c r="R292"/>
  <c r="R313"/>
  <c r="R316" s="1"/>
  <c r="R318" s="1"/>
  <c r="M292"/>
  <c r="M313"/>
  <c r="M316" s="1"/>
  <c r="M318" s="1"/>
  <c r="Y292"/>
  <c r="Y313"/>
  <c r="Y316" s="1"/>
  <c r="Y318" s="1"/>
  <c r="S292"/>
  <c r="S313"/>
  <c r="S316" s="1"/>
  <c r="S318" s="1"/>
  <c r="X292"/>
  <c r="X313"/>
  <c r="X316" s="1"/>
  <c r="X318" s="1"/>
  <c r="Z291"/>
  <c r="Z274"/>
  <c r="R291"/>
  <c r="R295" s="1"/>
  <c r="R297" s="1"/>
  <c r="R274"/>
  <c r="T291"/>
  <c r="T295" s="1"/>
  <c r="T297" s="1"/>
  <c r="T274"/>
  <c r="K291"/>
  <c r="K274"/>
  <c r="S291"/>
  <c r="S295" s="1"/>
  <c r="S297" s="1"/>
  <c r="S274"/>
  <c r="Y291"/>
  <c r="Y295" s="1"/>
  <c r="Y297" s="1"/>
  <c r="Y274"/>
  <c r="M291"/>
  <c r="M295" s="1"/>
  <c r="M297" s="1"/>
  <c r="M274"/>
  <c r="X291"/>
  <c r="X295" s="1"/>
  <c r="X297" s="1"/>
  <c r="X274"/>
  <c r="H291"/>
  <c r="H284"/>
  <c r="H286" s="1"/>
  <c r="H265"/>
  <c r="D92" i="24" s="1"/>
  <c r="R248" i="35"/>
  <c r="R252" s="1"/>
  <c r="M248"/>
  <c r="M252" s="1"/>
  <c r="X248"/>
  <c r="X250" s="1"/>
  <c r="Z248"/>
  <c r="Z252" s="1"/>
  <c r="AA177"/>
  <c r="AA183" s="1"/>
  <c r="AA270" s="1"/>
  <c r="AA312" s="1"/>
  <c r="AA33"/>
  <c r="AA185" s="1"/>
  <c r="AA186" s="1"/>
  <c r="AA271" s="1"/>
  <c r="Y248"/>
  <c r="Y252" s="1"/>
  <c r="W177"/>
  <c r="W183" s="1"/>
  <c r="W270" s="1"/>
  <c r="W312" s="1"/>
  <c r="W33"/>
  <c r="W185" s="1"/>
  <c r="W186" s="1"/>
  <c r="W271" s="1"/>
  <c r="T248"/>
  <c r="T252" s="1"/>
  <c r="K248"/>
  <c r="K250" s="1"/>
  <c r="S248"/>
  <c r="S250" s="1"/>
  <c r="Q177"/>
  <c r="Q183" s="1"/>
  <c r="Q270" s="1"/>
  <c r="Q312" s="1"/>
  <c r="Q33"/>
  <c r="Q185" s="1"/>
  <c r="Q186" s="1"/>
  <c r="Q271" s="1"/>
  <c r="U177"/>
  <c r="U183" s="1"/>
  <c r="U270" s="1"/>
  <c r="U312" s="1"/>
  <c r="U33"/>
  <c r="U185" s="1"/>
  <c r="U186" s="1"/>
  <c r="U271" s="1"/>
  <c r="V177"/>
  <c r="V183" s="1"/>
  <c r="V270" s="1"/>
  <c r="V312" s="1"/>
  <c r="V33"/>
  <c r="V185" s="1"/>
  <c r="V186" s="1"/>
  <c r="V271" s="1"/>
  <c r="J177"/>
  <c r="J183" s="1"/>
  <c r="J270" s="1"/>
  <c r="J312" s="1"/>
  <c r="J33"/>
  <c r="J185" s="1"/>
  <c r="J186" s="1"/>
  <c r="J271" s="1"/>
  <c r="H185"/>
  <c r="AC38"/>
  <c r="M250" l="1"/>
  <c r="Z250"/>
  <c r="X252"/>
  <c r="Z295"/>
  <c r="Z297" s="1"/>
  <c r="BH277" i="29"/>
  <c r="BG301"/>
  <c r="BG300"/>
  <c r="BG299"/>
  <c r="BG303"/>
  <c r="BG304"/>
  <c r="BG305"/>
  <c r="BH279"/>
  <c r="J292" i="35"/>
  <c r="J313"/>
  <c r="J316" s="1"/>
  <c r="J318" s="1"/>
  <c r="X276"/>
  <c r="X277" s="1"/>
  <c r="T93" i="24"/>
  <c r="Y276" i="35"/>
  <c r="Y277" s="1"/>
  <c r="U93" i="24"/>
  <c r="K276" i="35"/>
  <c r="K277" s="1"/>
  <c r="G93" i="24"/>
  <c r="R276" i="35"/>
  <c r="R277" s="1"/>
  <c r="N93" i="24"/>
  <c r="V292" i="35"/>
  <c r="V313"/>
  <c r="V316" s="1"/>
  <c r="V318" s="1"/>
  <c r="Q292"/>
  <c r="Q313"/>
  <c r="Q316" s="1"/>
  <c r="Q318" s="1"/>
  <c r="W292"/>
  <c r="W313"/>
  <c r="W316" s="1"/>
  <c r="W318" s="1"/>
  <c r="AA292"/>
  <c r="AA313"/>
  <c r="AA316" s="1"/>
  <c r="AA318" s="1"/>
  <c r="M276"/>
  <c r="M277" s="1"/>
  <c r="I93" i="24"/>
  <c r="S276" i="35"/>
  <c r="S277" s="1"/>
  <c r="O93" i="24"/>
  <c r="T276" i="35"/>
  <c r="T277" s="1"/>
  <c r="P93" i="24"/>
  <c r="Z276" i="35"/>
  <c r="Z277" s="1"/>
  <c r="V93" i="24"/>
  <c r="U292" i="35"/>
  <c r="U313"/>
  <c r="U316" s="1"/>
  <c r="U318" s="1"/>
  <c r="K295"/>
  <c r="K297" s="1"/>
  <c r="Y250"/>
  <c r="R250"/>
  <c r="S252"/>
  <c r="V291"/>
  <c r="V274"/>
  <c r="Q291"/>
  <c r="Q274"/>
  <c r="W291"/>
  <c r="W274"/>
  <c r="AA291"/>
  <c r="AA274"/>
  <c r="U291"/>
  <c r="U274"/>
  <c r="K252"/>
  <c r="J291"/>
  <c r="J274"/>
  <c r="T250"/>
  <c r="J248"/>
  <c r="J252" s="1"/>
  <c r="U248"/>
  <c r="U250" s="1"/>
  <c r="N177"/>
  <c r="N183" s="1"/>
  <c r="N270" s="1"/>
  <c r="N312" s="1"/>
  <c r="N33"/>
  <c r="N185" s="1"/>
  <c r="N186" s="1"/>
  <c r="N271" s="1"/>
  <c r="AB177"/>
  <c r="AB183" s="1"/>
  <c r="AB270" s="1"/>
  <c r="AB312" s="1"/>
  <c r="AB33"/>
  <c r="AB185" s="1"/>
  <c r="AB186" s="1"/>
  <c r="AB271" s="1"/>
  <c r="AC39"/>
  <c r="AC177" s="1"/>
  <c r="AC183" s="1"/>
  <c r="AC270" s="1"/>
  <c r="AC312" s="1"/>
  <c r="AC33"/>
  <c r="AC185" s="1"/>
  <c r="AC186" s="1"/>
  <c r="AC271" s="1"/>
  <c r="H186"/>
  <c r="H271" s="1"/>
  <c r="H313" s="1"/>
  <c r="H316" s="1"/>
  <c r="H318" s="1"/>
  <c r="V248"/>
  <c r="V252" s="1"/>
  <c r="Q248"/>
  <c r="Q252" s="1"/>
  <c r="W248"/>
  <c r="W252" s="1"/>
  <c r="AA248"/>
  <c r="AA252" s="1"/>
  <c r="L177"/>
  <c r="L183" s="1"/>
  <c r="L270" s="1"/>
  <c r="L312" s="1"/>
  <c r="L33"/>
  <c r="L185" s="1"/>
  <c r="L186" s="1"/>
  <c r="L271" s="1"/>
  <c r="P177"/>
  <c r="P183" s="1"/>
  <c r="P270" s="1"/>
  <c r="P312" s="1"/>
  <c r="P33"/>
  <c r="P185" s="1"/>
  <c r="P186" s="1"/>
  <c r="P271" s="1"/>
  <c r="O177"/>
  <c r="O183" s="1"/>
  <c r="O270" s="1"/>
  <c r="O312" s="1"/>
  <c r="O33"/>
  <c r="O185" s="1"/>
  <c r="O186" s="1"/>
  <c r="O271" s="1"/>
  <c r="U295" l="1"/>
  <c r="U297" s="1"/>
  <c r="W295"/>
  <c r="W297" s="1"/>
  <c r="V295"/>
  <c r="V297" s="1"/>
  <c r="AA295"/>
  <c r="AA297" s="1"/>
  <c r="BH300" i="29"/>
  <c r="BK300" s="1"/>
  <c r="AC335" s="1"/>
  <c r="BH301"/>
  <c r="BK301" s="1"/>
  <c r="AC344" s="1"/>
  <c r="BH299"/>
  <c r="BK299" s="1"/>
  <c r="BH305"/>
  <c r="BK305" s="1"/>
  <c r="AC365" s="1"/>
  <c r="BH304"/>
  <c r="BK304" s="1"/>
  <c r="AC356" s="1"/>
  <c r="BH303"/>
  <c r="BK303" s="1"/>
  <c r="Q295" i="35"/>
  <c r="Q297" s="1"/>
  <c r="P292"/>
  <c r="P313"/>
  <c r="P316" s="1"/>
  <c r="P318" s="1"/>
  <c r="J276"/>
  <c r="J277" s="1"/>
  <c r="F93" i="24"/>
  <c r="U276" i="35"/>
  <c r="U277" s="1"/>
  <c r="Q93" i="24"/>
  <c r="Q276" i="35"/>
  <c r="Q277" s="1"/>
  <c r="M93" i="24"/>
  <c r="AB292" i="35"/>
  <c r="AB313"/>
  <c r="AB316" s="1"/>
  <c r="AB318" s="1"/>
  <c r="O292"/>
  <c r="O313"/>
  <c r="O316" s="1"/>
  <c r="O318" s="1"/>
  <c r="L292"/>
  <c r="L313"/>
  <c r="L316" s="1"/>
  <c r="L318" s="1"/>
  <c r="AA276"/>
  <c r="AA277" s="1"/>
  <c r="W93" i="24"/>
  <c r="W276" i="35"/>
  <c r="S93" i="24"/>
  <c r="V276" i="35"/>
  <c r="V277" s="1"/>
  <c r="R93" i="24"/>
  <c r="AC292" i="35"/>
  <c r="AC313"/>
  <c r="AC316" s="1"/>
  <c r="AC318" s="1"/>
  <c r="N292"/>
  <c r="N313"/>
  <c r="N316" s="1"/>
  <c r="N318" s="1"/>
  <c r="W277"/>
  <c r="P291"/>
  <c r="P274"/>
  <c r="H292"/>
  <c r="H295" s="1"/>
  <c r="H297" s="1"/>
  <c r="H274"/>
  <c r="AB291"/>
  <c r="AB274"/>
  <c r="O291"/>
  <c r="O274"/>
  <c r="L291"/>
  <c r="L274"/>
  <c r="AC291"/>
  <c r="AC274"/>
  <c r="N291"/>
  <c r="N274"/>
  <c r="J295"/>
  <c r="J297" s="1"/>
  <c r="V250"/>
  <c r="J250"/>
  <c r="W250"/>
  <c r="U252"/>
  <c r="Q250"/>
  <c r="AA250"/>
  <c r="O248"/>
  <c r="O250" s="1"/>
  <c r="L248"/>
  <c r="L250" s="1"/>
  <c r="AC248"/>
  <c r="AC252" s="1"/>
  <c r="N248"/>
  <c r="N250" s="1"/>
  <c r="P248"/>
  <c r="P250" s="1"/>
  <c r="H248"/>
  <c r="AB248"/>
  <c r="AB252" s="1"/>
  <c r="N295" l="1"/>
  <c r="N297" s="1"/>
  <c r="N252"/>
  <c r="AC367" i="29"/>
  <c r="D367" s="1"/>
  <c r="C43" i="24" s="1"/>
  <c r="L252" i="35"/>
  <c r="D368" i="29"/>
  <c r="C44" i="24" s="1"/>
  <c r="AD335" i="29"/>
  <c r="AC346"/>
  <c r="D346" s="1"/>
  <c r="C22" i="24" s="1"/>
  <c r="D347" i="29"/>
  <c r="C23" i="24" s="1"/>
  <c r="AD344" i="29"/>
  <c r="AC295" i="35"/>
  <c r="AC297" s="1"/>
  <c r="O295"/>
  <c r="O297" s="1"/>
  <c r="L295"/>
  <c r="L297" s="1"/>
  <c r="AB295"/>
  <c r="AB297" s="1"/>
  <c r="P295"/>
  <c r="P297" s="1"/>
  <c r="N276"/>
  <c r="N277" s="1"/>
  <c r="J93" i="24"/>
  <c r="L276" i="35"/>
  <c r="L277" s="1"/>
  <c r="H93" i="24"/>
  <c r="AB276" i="35"/>
  <c r="AB277" s="1"/>
  <c r="X93" i="24"/>
  <c r="P276" i="35"/>
  <c r="P277" s="1"/>
  <c r="L93" i="24"/>
  <c r="AC276" i="35"/>
  <c r="AC277" s="1"/>
  <c r="Y93" i="24"/>
  <c r="O276" i="35"/>
  <c r="O277" s="1"/>
  <c r="K93" i="24"/>
  <c r="H276" i="35"/>
  <c r="H277" s="1"/>
  <c r="D93" i="24"/>
  <c r="O252" i="35"/>
  <c r="AC250"/>
  <c r="P252"/>
  <c r="AB250"/>
  <c r="H250"/>
  <c r="H252"/>
  <c r="F181" l="1"/>
  <c r="C26" i="32"/>
  <c r="F38" i="35" s="1"/>
  <c r="AD38" s="1"/>
  <c r="F263" l="1"/>
  <c r="F305" s="1"/>
  <c r="AD181"/>
  <c r="AD37"/>
  <c r="D305" l="1"/>
  <c r="F307"/>
  <c r="F284"/>
  <c r="F265"/>
  <c r="B92" i="24" s="1"/>
  <c r="B97" s="1"/>
  <c r="F33" i="35"/>
  <c r="AD39"/>
  <c r="F177"/>
  <c r="G30" i="24" l="1"/>
  <c r="D302" i="35"/>
  <c r="G27" i="24" s="1"/>
  <c r="F286" i="35"/>
  <c r="D284"/>
  <c r="F185"/>
  <c r="AD33"/>
  <c r="AD177"/>
  <c r="F183"/>
  <c r="F270" s="1"/>
  <c r="F312" s="1"/>
  <c r="D312" s="1"/>
  <c r="G37" i="24" s="1"/>
  <c r="G9" l="1"/>
  <c r="D281" i="35"/>
  <c r="G6" i="24" s="1"/>
  <c r="F291" i="35"/>
  <c r="F186"/>
  <c r="AD185"/>
  <c r="AD183"/>
  <c r="AG23" s="1"/>
  <c r="AD186" l="1"/>
  <c r="AG24" s="1"/>
  <c r="F271"/>
  <c r="F313" s="1"/>
  <c r="D291"/>
  <c r="F248"/>
  <c r="E254" s="1"/>
  <c r="D313" l="1"/>
  <c r="F316"/>
  <c r="F318" s="1"/>
  <c r="D318" s="1"/>
  <c r="G43" i="24" s="1"/>
  <c r="F292" i="35"/>
  <c r="F274"/>
  <c r="G16" i="24"/>
  <c r="E248" i="35"/>
  <c r="F250"/>
  <c r="E250" s="1"/>
  <c r="AD248"/>
  <c r="F252"/>
  <c r="AD252" s="1"/>
  <c r="G38" i="24" l="1"/>
  <c r="D308" i="35"/>
  <c r="G33" i="24" s="1"/>
  <c r="D319" i="35"/>
  <c r="G44" i="24" s="1"/>
  <c r="F276" i="35"/>
  <c r="B93" i="24"/>
  <c r="D292" i="35"/>
  <c r="F295"/>
  <c r="F297" s="1"/>
  <c r="D297" s="1"/>
  <c r="D276"/>
  <c r="AD250"/>
  <c r="E252"/>
  <c r="F277" l="1"/>
  <c r="D317"/>
  <c r="G42" i="24" s="1"/>
  <c r="G22"/>
  <c r="G17"/>
  <c r="D298" i="35"/>
  <c r="G23" i="24" s="1"/>
  <c r="D287" i="35"/>
  <c r="G12" i="24" s="1"/>
  <c r="C49" i="40" l="1"/>
  <c r="C51"/>
  <c r="C50"/>
  <c r="C52"/>
  <c r="C47"/>
  <c r="C60" s="1"/>
  <c r="C48"/>
  <c r="Q50"/>
  <c r="Q52"/>
  <c r="Q51"/>
  <c r="Q48"/>
  <c r="Q49"/>
  <c r="Q47"/>
  <c r="Q60" s="1"/>
  <c r="W52"/>
  <c r="W50"/>
  <c r="W51"/>
  <c r="W47"/>
  <c r="W60" s="1"/>
  <c r="W48"/>
  <c r="W49"/>
  <c r="J51"/>
  <c r="J48"/>
  <c r="J49"/>
  <c r="J47"/>
  <c r="J60" s="1"/>
  <c r="J50"/>
  <c r="J52"/>
  <c r="P47"/>
  <c r="P60" s="1"/>
  <c r="P52"/>
  <c r="P49"/>
  <c r="P50"/>
  <c r="P48"/>
  <c r="P51"/>
  <c r="T50"/>
  <c r="T48"/>
  <c r="T52"/>
  <c r="T47"/>
  <c r="T60" s="1"/>
  <c r="T49"/>
  <c r="T51"/>
  <c r="U50"/>
  <c r="U51"/>
  <c r="U48"/>
  <c r="U49"/>
  <c r="U52"/>
  <c r="U47"/>
  <c r="U60" s="1"/>
  <c r="M49"/>
  <c r="M48"/>
  <c r="M47"/>
  <c r="M60" s="1"/>
  <c r="M52"/>
  <c r="M51"/>
  <c r="M50"/>
  <c r="S52"/>
  <c r="S51"/>
  <c r="S48"/>
  <c r="S47"/>
  <c r="S60" s="1"/>
  <c r="S49"/>
  <c r="S50"/>
  <c r="E52"/>
  <c r="E49"/>
  <c r="E47"/>
  <c r="E60" s="1"/>
  <c r="E51"/>
  <c r="E50"/>
  <c r="E48"/>
  <c r="X49"/>
  <c r="X50"/>
  <c r="X51"/>
  <c r="X47"/>
  <c r="X60" s="1"/>
  <c r="X52"/>
  <c r="X48"/>
  <c r="H50"/>
  <c r="H51"/>
  <c r="H47"/>
  <c r="H60" s="1"/>
  <c r="H49"/>
  <c r="H52"/>
  <c r="H48"/>
  <c r="Z49"/>
  <c r="Z48"/>
  <c r="Z52"/>
  <c r="Z47"/>
  <c r="Z60" s="1"/>
  <c r="Z50"/>
  <c r="Z51"/>
  <c r="N52"/>
  <c r="N50"/>
  <c r="N51"/>
  <c r="N49"/>
  <c r="N48"/>
  <c r="N47"/>
  <c r="N60" s="1"/>
  <c r="K50"/>
  <c r="K47"/>
  <c r="K60" s="1"/>
  <c r="K52"/>
  <c r="K49"/>
  <c r="K48"/>
  <c r="K51"/>
  <c r="I48"/>
  <c r="I52"/>
  <c r="I51"/>
  <c r="I49"/>
  <c r="I50"/>
  <c r="I47"/>
  <c r="I60" s="1"/>
  <c r="G50"/>
  <c r="G52"/>
  <c r="G51"/>
  <c r="G48"/>
  <c r="G47"/>
  <c r="G60" s="1"/>
  <c r="G49"/>
  <c r="L48"/>
  <c r="L52"/>
  <c r="L47"/>
  <c r="L60" s="1"/>
  <c r="L49"/>
  <c r="L51"/>
  <c r="L50"/>
  <c r="R51"/>
  <c r="R49"/>
  <c r="R50"/>
  <c r="R47"/>
  <c r="R60" s="1"/>
  <c r="R48"/>
  <c r="R52"/>
  <c r="D50"/>
  <c r="D49"/>
  <c r="D52"/>
  <c r="D51"/>
  <c r="D47"/>
  <c r="D60" s="1"/>
  <c r="D48"/>
  <c r="Y49"/>
  <c r="Y47"/>
  <c r="Y60" s="1"/>
  <c r="Y50"/>
  <c r="Y52"/>
  <c r="Y51"/>
  <c r="Y48"/>
  <c r="O47"/>
  <c r="O60" s="1"/>
  <c r="O48"/>
  <c r="O52"/>
  <c r="O50"/>
  <c r="O51"/>
  <c r="O49"/>
  <c r="F48"/>
  <c r="F51"/>
  <c r="F50"/>
  <c r="F52"/>
  <c r="F49"/>
  <c r="F47"/>
  <c r="F60" s="1"/>
  <c r="V48"/>
  <c r="V50"/>
  <c r="V51"/>
  <c r="V49"/>
  <c r="V47"/>
  <c r="V60" s="1"/>
  <c r="V52"/>
  <c r="F159" i="46"/>
  <c r="AD156"/>
  <c r="F170"/>
  <c r="AD171"/>
  <c r="D62" i="40" l="1"/>
  <c r="D63"/>
  <c r="G12" i="44" s="1"/>
  <c r="G91" s="1"/>
  <c r="G10"/>
  <c r="G39" s="1"/>
  <c r="Y70" i="40"/>
  <c r="Y13" s="1"/>
  <c r="AB17" i="44" s="1"/>
  <c r="AB97" s="1"/>
  <c r="Y69" i="40"/>
  <c r="Y12" s="1"/>
  <c r="AB16" i="44" s="1"/>
  <c r="Y11" i="40"/>
  <c r="AB15" i="44" s="1"/>
  <c r="Y63" i="40"/>
  <c r="Y7" s="1"/>
  <c r="AB12" i="44" s="1"/>
  <c r="AB91" s="1"/>
  <c r="Y62" i="40"/>
  <c r="Y6" s="1"/>
  <c r="Y5"/>
  <c r="AB10" i="44" s="1"/>
  <c r="AB39" s="1"/>
  <c r="K63" i="40"/>
  <c r="K7" s="1"/>
  <c r="N12" i="44" s="1"/>
  <c r="N91" s="1"/>
  <c r="K5" i="40"/>
  <c r="N10" i="44" s="1"/>
  <c r="N39" s="1"/>
  <c r="K62" i="40"/>
  <c r="K6" s="1"/>
  <c r="Z11"/>
  <c r="AC15" i="44" s="1"/>
  <c r="Z70" i="40"/>
  <c r="Z13" s="1"/>
  <c r="AC17" i="44" s="1"/>
  <c r="AC97" s="1"/>
  <c r="Z69" i="40"/>
  <c r="Z12" s="1"/>
  <c r="AC16" i="44" s="1"/>
  <c r="X69" i="40"/>
  <c r="X12" s="1"/>
  <c r="AA16" i="44" s="1"/>
  <c r="X70" i="40"/>
  <c r="X13" s="1"/>
  <c r="AA17" i="44" s="1"/>
  <c r="AA97" s="1"/>
  <c r="X11" i="40"/>
  <c r="AA15" i="44" s="1"/>
  <c r="U5" i="40"/>
  <c r="X10" i="44" s="1"/>
  <c r="X39" s="1"/>
  <c r="U63" i="40"/>
  <c r="U7" s="1"/>
  <c r="X12" i="44" s="1"/>
  <c r="X91" s="1"/>
  <c r="U62" i="40"/>
  <c r="U6" s="1"/>
  <c r="T62"/>
  <c r="T6" s="1"/>
  <c r="T5"/>
  <c r="W10" i="44" s="1"/>
  <c r="W39" s="1"/>
  <c r="T63" i="40"/>
  <c r="T7" s="1"/>
  <c r="W12" i="44" s="1"/>
  <c r="W91" s="1"/>
  <c r="J5" i="40"/>
  <c r="M10" i="44" s="1"/>
  <c r="M39" s="1"/>
  <c r="J63" i="40"/>
  <c r="J7" s="1"/>
  <c r="M12" i="44" s="1"/>
  <c r="M91" s="1"/>
  <c r="J62" i="40"/>
  <c r="J6" s="1"/>
  <c r="Q70"/>
  <c r="Q13" s="1"/>
  <c r="T17" i="44" s="1"/>
  <c r="T97" s="1"/>
  <c r="Q69" i="40"/>
  <c r="Q12" s="1"/>
  <c r="T16" i="44" s="1"/>
  <c r="Q11" i="40"/>
  <c r="T15" i="44" s="1"/>
  <c r="V5" i="40"/>
  <c r="Y10" i="44" s="1"/>
  <c r="Y39" s="1"/>
  <c r="V63" i="40"/>
  <c r="V7" s="1"/>
  <c r="Y12" i="44" s="1"/>
  <c r="Y91" s="1"/>
  <c r="V62" i="40"/>
  <c r="V6" s="1"/>
  <c r="V11"/>
  <c r="Y15" i="44" s="1"/>
  <c r="V69" i="40"/>
  <c r="V12" s="1"/>
  <c r="Y16" i="44" s="1"/>
  <c r="V70" i="40"/>
  <c r="V13" s="1"/>
  <c r="Y17" i="44" s="1"/>
  <c r="Y97" s="1"/>
  <c r="O63" i="40"/>
  <c r="O7" s="1"/>
  <c r="R12" i="44" s="1"/>
  <c r="R91" s="1"/>
  <c r="O5" i="40"/>
  <c r="R10" i="44" s="1"/>
  <c r="R39" s="1"/>
  <c r="O62" i="40"/>
  <c r="O6" s="1"/>
  <c r="L70"/>
  <c r="L13" s="1"/>
  <c r="O17" i="44" s="1"/>
  <c r="O97" s="1"/>
  <c r="L69" i="40"/>
  <c r="L12" s="1"/>
  <c r="O16" i="44" s="1"/>
  <c r="L11" i="40"/>
  <c r="O15" i="44" s="1"/>
  <c r="I70" i="40"/>
  <c r="I13" s="1"/>
  <c r="L17" i="44" s="1"/>
  <c r="L97" s="1"/>
  <c r="I69" i="40"/>
  <c r="I12" s="1"/>
  <c r="L16" i="44" s="1"/>
  <c r="I11" i="40"/>
  <c r="L15" i="44" s="1"/>
  <c r="N11" i="40"/>
  <c r="Q15" i="44" s="1"/>
  <c r="N70" i="40"/>
  <c r="N13" s="1"/>
  <c r="Q17" i="44" s="1"/>
  <c r="Q97" s="1"/>
  <c r="N69" i="40"/>
  <c r="N12" s="1"/>
  <c r="Q16" i="44" s="1"/>
  <c r="S11" i="40"/>
  <c r="V15" i="44" s="1"/>
  <c r="S70" i="40"/>
  <c r="S13" s="1"/>
  <c r="V17" i="44" s="1"/>
  <c r="V97" s="1"/>
  <c r="S69" i="40"/>
  <c r="S12" s="1"/>
  <c r="V16" i="44" s="1"/>
  <c r="U70" i="40"/>
  <c r="U13" s="1"/>
  <c r="X17" i="44" s="1"/>
  <c r="X97" s="1"/>
  <c r="U69" i="40"/>
  <c r="U12" s="1"/>
  <c r="X16" i="44" s="1"/>
  <c r="U11" i="40"/>
  <c r="X15" i="44" s="1"/>
  <c r="F5" i="40"/>
  <c r="I10" i="44" s="1"/>
  <c r="I39" s="1"/>
  <c r="F63" i="40"/>
  <c r="F7" s="1"/>
  <c r="I12" i="44" s="1"/>
  <c r="I91" s="1"/>
  <c r="F62" i="40"/>
  <c r="F6" s="1"/>
  <c r="O11"/>
  <c r="R15" i="44" s="1"/>
  <c r="O70" i="40"/>
  <c r="O13" s="1"/>
  <c r="R17" i="44" s="1"/>
  <c r="R97" s="1"/>
  <c r="O69" i="40"/>
  <c r="O12" s="1"/>
  <c r="R16" i="44" s="1"/>
  <c r="R5" i="40"/>
  <c r="U10" i="44" s="1"/>
  <c r="U39" s="1"/>
  <c r="R63" i="40"/>
  <c r="R7" s="1"/>
  <c r="U12" i="44" s="1"/>
  <c r="U91" s="1"/>
  <c r="R62" i="40"/>
  <c r="R6" s="1"/>
  <c r="G70"/>
  <c r="G13" s="1"/>
  <c r="J17" i="44" s="1"/>
  <c r="J97" s="1"/>
  <c r="G11" i="40"/>
  <c r="J15" i="44" s="1"/>
  <c r="G69" i="40"/>
  <c r="G12" s="1"/>
  <c r="J16" i="44" s="1"/>
  <c r="I63" i="40"/>
  <c r="I7" s="1"/>
  <c r="L12" i="44" s="1"/>
  <c r="L91" s="1"/>
  <c r="I62" i="40"/>
  <c r="I6" s="1"/>
  <c r="I5"/>
  <c r="L10" i="44" s="1"/>
  <c r="L39" s="1"/>
  <c r="N5" i="40"/>
  <c r="Q10" i="44" s="1"/>
  <c r="Q39" s="1"/>
  <c r="N63" i="40"/>
  <c r="N7" s="1"/>
  <c r="Q12" i="44" s="1"/>
  <c r="Q91" s="1"/>
  <c r="N62" i="40"/>
  <c r="N6" s="1"/>
  <c r="Z5"/>
  <c r="AC10" i="44" s="1"/>
  <c r="AC39" s="1"/>
  <c r="Z63" i="40"/>
  <c r="Z7" s="1"/>
  <c r="AC12" i="44" s="1"/>
  <c r="AC91" s="1"/>
  <c r="Z62" i="40"/>
  <c r="Z6" s="1"/>
  <c r="H70"/>
  <c r="H13" s="1"/>
  <c r="K17" i="44" s="1"/>
  <c r="K97" s="1"/>
  <c r="H11" i="40"/>
  <c r="K15" i="44" s="1"/>
  <c r="H69" i="40"/>
  <c r="H12" s="1"/>
  <c r="K16" i="44" s="1"/>
  <c r="X62" i="40"/>
  <c r="X6" s="1"/>
  <c r="X63"/>
  <c r="X7" s="1"/>
  <c r="AA12" i="44" s="1"/>
  <c r="AA91" s="1"/>
  <c r="X5" i="40"/>
  <c r="AA10" i="44" s="1"/>
  <c r="AA39" s="1"/>
  <c r="E69" i="40"/>
  <c r="E12" s="1"/>
  <c r="H16" i="44" s="1"/>
  <c r="E70" i="40"/>
  <c r="E13" s="1"/>
  <c r="H17" i="44" s="1"/>
  <c r="E11" i="40"/>
  <c r="H15" i="44" s="1"/>
  <c r="S63" i="40"/>
  <c r="S7" s="1"/>
  <c r="V12" i="44" s="1"/>
  <c r="V91" s="1"/>
  <c r="S5" i="40"/>
  <c r="V10" i="44" s="1"/>
  <c r="V39" s="1"/>
  <c r="S62" i="40"/>
  <c r="S6" s="1"/>
  <c r="M70"/>
  <c r="M13" s="1"/>
  <c r="P17" i="44" s="1"/>
  <c r="P97" s="1"/>
  <c r="M69" i="40"/>
  <c r="M12" s="1"/>
  <c r="P16" i="44" s="1"/>
  <c r="M11" i="40"/>
  <c r="P15" i="44" s="1"/>
  <c r="T69" i="40"/>
  <c r="T12" s="1"/>
  <c r="W16" i="44" s="1"/>
  <c r="T11" i="40"/>
  <c r="W15" i="44" s="1"/>
  <c r="T70" i="40"/>
  <c r="T13" s="1"/>
  <c r="W17" i="44" s="1"/>
  <c r="W97" s="1"/>
  <c r="J11" i="40"/>
  <c r="M15" i="44" s="1"/>
  <c r="J70" i="40"/>
  <c r="J13" s="1"/>
  <c r="M17" i="44" s="1"/>
  <c r="M97" s="1"/>
  <c r="J69" i="40"/>
  <c r="J12" s="1"/>
  <c r="M16" i="44" s="1"/>
  <c r="W63" i="40"/>
  <c r="W7" s="1"/>
  <c r="Z12" i="44" s="1"/>
  <c r="Z91" s="1"/>
  <c r="W5" i="40"/>
  <c r="Z10" i="44" s="1"/>
  <c r="Z39" s="1"/>
  <c r="W62" i="40"/>
  <c r="W6" s="1"/>
  <c r="Q63"/>
  <c r="Q7" s="1"/>
  <c r="T12" i="44" s="1"/>
  <c r="T91" s="1"/>
  <c r="Q62" i="40"/>
  <c r="Q6" s="1"/>
  <c r="Q5"/>
  <c r="T10" i="44" s="1"/>
  <c r="T39" s="1"/>
  <c r="F11" i="40"/>
  <c r="I15" i="44" s="1"/>
  <c r="F69" i="40"/>
  <c r="F12" s="1"/>
  <c r="I16" i="44" s="1"/>
  <c r="F70" i="40"/>
  <c r="F13" s="1"/>
  <c r="I17" i="44" s="1"/>
  <c r="I97" s="1"/>
  <c r="R11" i="40"/>
  <c r="U15" i="44" s="1"/>
  <c r="R70" i="40"/>
  <c r="R13" s="1"/>
  <c r="U17" i="44" s="1"/>
  <c r="U97" s="1"/>
  <c r="R69" i="40"/>
  <c r="R12" s="1"/>
  <c r="U16" i="44" s="1"/>
  <c r="L62" i="40"/>
  <c r="L6" s="1"/>
  <c r="L5"/>
  <c r="O10" i="44" s="1"/>
  <c r="O39" s="1"/>
  <c r="L63" i="40"/>
  <c r="L7" s="1"/>
  <c r="O12" i="44" s="1"/>
  <c r="O91" s="1"/>
  <c r="G63" i="40"/>
  <c r="G7" s="1"/>
  <c r="J12" i="44" s="1"/>
  <c r="J91" s="1"/>
  <c r="G5" i="40"/>
  <c r="J10" i="44" s="1"/>
  <c r="J39" s="1"/>
  <c r="G62" i="40"/>
  <c r="G6" s="1"/>
  <c r="K11"/>
  <c r="N15" i="44" s="1"/>
  <c r="K70" i="40"/>
  <c r="K13" s="1"/>
  <c r="N17" i="44" s="1"/>
  <c r="N97" s="1"/>
  <c r="K69" i="40"/>
  <c r="K12" s="1"/>
  <c r="N16" i="44" s="1"/>
  <c r="H62" i="40"/>
  <c r="H6" s="1"/>
  <c r="H63"/>
  <c r="H7" s="1"/>
  <c r="K12" i="44" s="1"/>
  <c r="K91" s="1"/>
  <c r="H5" i="40"/>
  <c r="K10" i="44" s="1"/>
  <c r="K39" s="1"/>
  <c r="E62" i="40"/>
  <c r="E6" s="1"/>
  <c r="E5"/>
  <c r="H10" i="44" s="1"/>
  <c r="H39" s="1"/>
  <c r="E63" i="40"/>
  <c r="E7" s="1"/>
  <c r="H12" i="44" s="1"/>
  <c r="M63" i="40"/>
  <c r="M7" s="1"/>
  <c r="P12" i="44" s="1"/>
  <c r="P91" s="1"/>
  <c r="M62" i="40"/>
  <c r="M6" s="1"/>
  <c r="M5"/>
  <c r="P10" i="44" s="1"/>
  <c r="P39" s="1"/>
  <c r="P11" i="40"/>
  <c r="S15" i="44" s="1"/>
  <c r="P70" i="40"/>
  <c r="P13" s="1"/>
  <c r="S17" i="44" s="1"/>
  <c r="S97" s="1"/>
  <c r="P69" i="40"/>
  <c r="P12" s="1"/>
  <c r="S16" i="44" s="1"/>
  <c r="P62" i="40"/>
  <c r="P6" s="1"/>
  <c r="P5"/>
  <c r="S10" i="44" s="1"/>
  <c r="S39" s="1"/>
  <c r="P63" i="40"/>
  <c r="P7" s="1"/>
  <c r="S12" i="44" s="1"/>
  <c r="S91" s="1"/>
  <c r="W70" i="40"/>
  <c r="W13" s="1"/>
  <c r="Z17" i="44" s="1"/>
  <c r="Z97" s="1"/>
  <c r="W11" i="40"/>
  <c r="Z15" i="44" s="1"/>
  <c r="W69" i="40"/>
  <c r="W12" s="1"/>
  <c r="Z16" i="44" s="1"/>
  <c r="F157" i="46"/>
  <c r="AC188"/>
  <c r="U188"/>
  <c r="U190"/>
  <c r="U214"/>
  <c r="M188"/>
  <c r="M190"/>
  <c r="M214"/>
  <c r="AC214"/>
  <c r="J190"/>
  <c r="J214"/>
  <c r="J188"/>
  <c r="AD159"/>
  <c r="F172"/>
  <c r="F182" s="1"/>
  <c r="F186" s="1"/>
  <c r="AD169"/>
  <c r="AD170"/>
  <c r="Q188"/>
  <c r="Q214"/>
  <c r="Q190"/>
  <c r="AD158"/>
  <c r="G11" i="44" l="1"/>
  <c r="D18" i="40"/>
  <c r="D21"/>
  <c r="D20"/>
  <c r="G22" i="44" s="1"/>
  <c r="G93"/>
  <c r="G94"/>
  <c r="P94"/>
  <c r="P93"/>
  <c r="N99"/>
  <c r="N100"/>
  <c r="J94"/>
  <c r="J93"/>
  <c r="U68"/>
  <c r="U159"/>
  <c r="U160" s="1"/>
  <c r="U138"/>
  <c r="U205" s="1"/>
  <c r="U157"/>
  <c r="U158" s="1"/>
  <c r="I68"/>
  <c r="I157"/>
  <c r="I158" s="1"/>
  <c r="I159"/>
  <c r="I160" s="1"/>
  <c r="I138"/>
  <c r="I205" s="1"/>
  <c r="T94"/>
  <c r="T93"/>
  <c r="M68"/>
  <c r="M138"/>
  <c r="M205" s="1"/>
  <c r="M157"/>
  <c r="M158" s="1"/>
  <c r="M159"/>
  <c r="M160" s="1"/>
  <c r="W163"/>
  <c r="W165"/>
  <c r="W65"/>
  <c r="P100"/>
  <c r="P99"/>
  <c r="H165"/>
  <c r="H65"/>
  <c r="H163"/>
  <c r="AD15"/>
  <c r="AA94"/>
  <c r="AA93"/>
  <c r="K99"/>
  <c r="K100"/>
  <c r="N21" i="40"/>
  <c r="Q11" i="44"/>
  <c r="N20" i="40"/>
  <c r="N18"/>
  <c r="L11" i="44"/>
  <c r="I20" i="40"/>
  <c r="I18"/>
  <c r="I21"/>
  <c r="J100" i="44"/>
  <c r="J99"/>
  <c r="R138"/>
  <c r="R205" s="1"/>
  <c r="R157"/>
  <c r="R158" s="1"/>
  <c r="R159"/>
  <c r="R160" s="1"/>
  <c r="R68"/>
  <c r="I93"/>
  <c r="I94"/>
  <c r="X99"/>
  <c r="X100"/>
  <c r="Q68"/>
  <c r="Q159"/>
  <c r="Q160" s="1"/>
  <c r="Q138"/>
  <c r="Q205" s="1"/>
  <c r="Q157"/>
  <c r="Q158" s="1"/>
  <c r="L157"/>
  <c r="L158" s="1"/>
  <c r="L159"/>
  <c r="L160" s="1"/>
  <c r="L68"/>
  <c r="L138"/>
  <c r="L205" s="1"/>
  <c r="O99"/>
  <c r="O100"/>
  <c r="Y100"/>
  <c r="Y99"/>
  <c r="Y94"/>
  <c r="Y93"/>
  <c r="T99"/>
  <c r="T100"/>
  <c r="W93"/>
  <c r="W94"/>
  <c r="X93"/>
  <c r="X94"/>
  <c r="AA68"/>
  <c r="AA138"/>
  <c r="AA205" s="1"/>
  <c r="AA157"/>
  <c r="AA158" s="1"/>
  <c r="AA159"/>
  <c r="AA160" s="1"/>
  <c r="K21" i="40"/>
  <c r="N11" i="44"/>
  <c r="K20" i="40"/>
  <c r="K18"/>
  <c r="AB11" i="44"/>
  <c r="Y20" i="40"/>
  <c r="Y18"/>
  <c r="Y21"/>
  <c r="AB100" i="44"/>
  <c r="AB99"/>
  <c r="S93"/>
  <c r="S94"/>
  <c r="Z100"/>
  <c r="Z99"/>
  <c r="S68"/>
  <c r="S157"/>
  <c r="S158" s="1"/>
  <c r="S159"/>
  <c r="S160" s="1"/>
  <c r="S138"/>
  <c r="S205" s="1"/>
  <c r="P11"/>
  <c r="M20" i="40"/>
  <c r="M18"/>
  <c r="M21"/>
  <c r="H11" i="44"/>
  <c r="E20" i="40"/>
  <c r="E18"/>
  <c r="E21"/>
  <c r="N157" i="44"/>
  <c r="N158" s="1"/>
  <c r="N68"/>
  <c r="N159"/>
  <c r="N160" s="1"/>
  <c r="N138"/>
  <c r="N205" s="1"/>
  <c r="AD39"/>
  <c r="O11"/>
  <c r="L20" i="40"/>
  <c r="L18"/>
  <c r="L21"/>
  <c r="I99" i="44"/>
  <c r="I100"/>
  <c r="T11"/>
  <c r="Q20" i="40"/>
  <c r="Q18"/>
  <c r="Q21"/>
  <c r="Z93" i="44"/>
  <c r="Z94"/>
  <c r="W100"/>
  <c r="W99"/>
  <c r="P157"/>
  <c r="P158" s="1"/>
  <c r="P159"/>
  <c r="P160" s="1"/>
  <c r="P138"/>
  <c r="P205" s="1"/>
  <c r="P68"/>
  <c r="V94"/>
  <c r="V93"/>
  <c r="K65"/>
  <c r="K163"/>
  <c r="K165"/>
  <c r="J165"/>
  <c r="J163"/>
  <c r="J65"/>
  <c r="F21" i="40"/>
  <c r="I11" i="44"/>
  <c r="F20" i="40"/>
  <c r="F18"/>
  <c r="X68" i="44"/>
  <c r="X138"/>
  <c r="X205" s="1"/>
  <c r="X157"/>
  <c r="X158" s="1"/>
  <c r="X159"/>
  <c r="X160" s="1"/>
  <c r="V163"/>
  <c r="V65"/>
  <c r="V165"/>
  <c r="L165"/>
  <c r="L65"/>
  <c r="L163"/>
  <c r="O68"/>
  <c r="O159"/>
  <c r="O160" s="1"/>
  <c r="O138"/>
  <c r="O205" s="1"/>
  <c r="O157"/>
  <c r="O158" s="1"/>
  <c r="R94"/>
  <c r="R93"/>
  <c r="V21" i="40"/>
  <c r="Y11" i="44"/>
  <c r="V20" i="40"/>
  <c r="V18"/>
  <c r="T138" i="44"/>
  <c r="T205" s="1"/>
  <c r="T157"/>
  <c r="T158" s="1"/>
  <c r="T159"/>
  <c r="T160" s="1"/>
  <c r="T68"/>
  <c r="X11"/>
  <c r="U20" i="40"/>
  <c r="U18"/>
  <c r="U21"/>
  <c r="AA99" i="44"/>
  <c r="AA100"/>
  <c r="AC163"/>
  <c r="AC65"/>
  <c r="AC165"/>
  <c r="AB157"/>
  <c r="AB158" s="1"/>
  <c r="AB159"/>
  <c r="AB160" s="1"/>
  <c r="AB68"/>
  <c r="AB138"/>
  <c r="AB205" s="1"/>
  <c r="S100"/>
  <c r="S99"/>
  <c r="Z165"/>
  <c r="Z163"/>
  <c r="Z65"/>
  <c r="S11"/>
  <c r="P20" i="40"/>
  <c r="P18"/>
  <c r="P21"/>
  <c r="K11" i="44"/>
  <c r="H20" i="40"/>
  <c r="H18"/>
  <c r="H21"/>
  <c r="G21"/>
  <c r="J11" i="44"/>
  <c r="G20" i="40"/>
  <c r="G18"/>
  <c r="U165" i="44"/>
  <c r="U163"/>
  <c r="U65"/>
  <c r="M163"/>
  <c r="M65"/>
  <c r="M165"/>
  <c r="P163"/>
  <c r="P165"/>
  <c r="P65"/>
  <c r="H138"/>
  <c r="AD16"/>
  <c r="H68"/>
  <c r="H157"/>
  <c r="H159"/>
  <c r="K68"/>
  <c r="K138"/>
  <c r="K205" s="1"/>
  <c r="K157"/>
  <c r="K158" s="1"/>
  <c r="K159"/>
  <c r="K160" s="1"/>
  <c r="AC93"/>
  <c r="AC94"/>
  <c r="J159"/>
  <c r="J160" s="1"/>
  <c r="J138"/>
  <c r="J205" s="1"/>
  <c r="J68"/>
  <c r="J157"/>
  <c r="J158" s="1"/>
  <c r="U94"/>
  <c r="U93"/>
  <c r="R163"/>
  <c r="R65"/>
  <c r="R165"/>
  <c r="X165"/>
  <c r="X65"/>
  <c r="X163"/>
  <c r="V99"/>
  <c r="V100"/>
  <c r="Q165"/>
  <c r="Q163"/>
  <c r="Q65"/>
  <c r="O165"/>
  <c r="O65"/>
  <c r="O163"/>
  <c r="Y165"/>
  <c r="Y163"/>
  <c r="Y65"/>
  <c r="T65"/>
  <c r="T163"/>
  <c r="T165"/>
  <c r="M93"/>
  <c r="M94"/>
  <c r="W11"/>
  <c r="T20" i="40"/>
  <c r="T18"/>
  <c r="T21"/>
  <c r="AA65" i="44"/>
  <c r="AA163"/>
  <c r="AA165"/>
  <c r="AC100"/>
  <c r="AC99"/>
  <c r="N93"/>
  <c r="N94"/>
  <c r="AB165"/>
  <c r="AB65"/>
  <c r="AB163"/>
  <c r="AD10"/>
  <c r="Z159"/>
  <c r="Z160" s="1"/>
  <c r="Z68"/>
  <c r="Z138"/>
  <c r="Z205" s="1"/>
  <c r="Z157"/>
  <c r="Z158" s="1"/>
  <c r="S165"/>
  <c r="S65"/>
  <c r="S163"/>
  <c r="H91"/>
  <c r="AD12"/>
  <c r="K93"/>
  <c r="K94"/>
  <c r="N165"/>
  <c r="N163"/>
  <c r="N65"/>
  <c r="O94"/>
  <c r="O93"/>
  <c r="U100"/>
  <c r="U99"/>
  <c r="I165"/>
  <c r="I163"/>
  <c r="I65"/>
  <c r="W21" i="40"/>
  <c r="Z11" i="44"/>
  <c r="W20" i="40"/>
  <c r="W18"/>
  <c r="M99" i="44"/>
  <c r="M100"/>
  <c r="W157"/>
  <c r="W158" s="1"/>
  <c r="W68"/>
  <c r="W159"/>
  <c r="W160" s="1"/>
  <c r="W138"/>
  <c r="W205" s="1"/>
  <c r="S21" i="40"/>
  <c r="V11" i="44"/>
  <c r="S20" i="40"/>
  <c r="S18"/>
  <c r="H97" i="44"/>
  <c r="AD17"/>
  <c r="AA11"/>
  <c r="X20" i="40"/>
  <c r="X18"/>
  <c r="X21"/>
  <c r="Z21"/>
  <c r="AC11" i="44"/>
  <c r="Z20" i="40"/>
  <c r="Z18"/>
  <c r="Q93" i="44"/>
  <c r="Q94"/>
  <c r="L94"/>
  <c r="L93"/>
  <c r="R21" i="40"/>
  <c r="U11" i="44"/>
  <c r="R20" i="40"/>
  <c r="R18"/>
  <c r="R99" i="44"/>
  <c r="R100"/>
  <c r="V138"/>
  <c r="V205" s="1"/>
  <c r="V157"/>
  <c r="V158" s="1"/>
  <c r="V159"/>
  <c r="V160" s="1"/>
  <c r="V68"/>
  <c r="Q99"/>
  <c r="Q100"/>
  <c r="L100"/>
  <c r="L99"/>
  <c r="O21" i="40"/>
  <c r="R11" i="44"/>
  <c r="O20" i="40"/>
  <c r="O18"/>
  <c r="Y68" i="44"/>
  <c r="Y157"/>
  <c r="Y158" s="1"/>
  <c r="Y159"/>
  <c r="Y160" s="1"/>
  <c r="Y138"/>
  <c r="Y205" s="1"/>
  <c r="J21" i="40"/>
  <c r="M11" i="44"/>
  <c r="J20" i="40"/>
  <c r="J18"/>
  <c r="AC68" i="44"/>
  <c r="AC138"/>
  <c r="AC205" s="1"/>
  <c r="AC157"/>
  <c r="AC158" s="1"/>
  <c r="AC159"/>
  <c r="AC160" s="1"/>
  <c r="AB93"/>
  <c r="AB94"/>
  <c r="AD157" i="46"/>
  <c r="F210"/>
  <c r="F252" s="1"/>
  <c r="AC190"/>
  <c r="G214"/>
  <c r="G188"/>
  <c r="G190"/>
  <c r="AD172"/>
  <c r="Z214"/>
  <c r="Z188"/>
  <c r="Z190"/>
  <c r="AB188"/>
  <c r="AB190"/>
  <c r="AB214"/>
  <c r="O188"/>
  <c r="O214"/>
  <c r="O190"/>
  <c r="T188"/>
  <c r="T190"/>
  <c r="T214"/>
  <c r="X190"/>
  <c r="X188"/>
  <c r="X214"/>
  <c r="H190"/>
  <c r="H214"/>
  <c r="H188"/>
  <c r="AA188"/>
  <c r="AA190"/>
  <c r="AA214"/>
  <c r="N214"/>
  <c r="N190"/>
  <c r="N188"/>
  <c r="I188"/>
  <c r="I190"/>
  <c r="I214"/>
  <c r="L190"/>
  <c r="L188"/>
  <c r="L214"/>
  <c r="K188"/>
  <c r="K214"/>
  <c r="K190"/>
  <c r="W190"/>
  <c r="W188"/>
  <c r="W214"/>
  <c r="P190"/>
  <c r="P188"/>
  <c r="P214"/>
  <c r="S188"/>
  <c r="S214"/>
  <c r="S190"/>
  <c r="V190"/>
  <c r="V214"/>
  <c r="V188"/>
  <c r="R188"/>
  <c r="R214"/>
  <c r="R190"/>
  <c r="Y214"/>
  <c r="Y190"/>
  <c r="Y188"/>
  <c r="G102" i="44" l="1"/>
  <c r="G202" s="1"/>
  <c r="G244" s="1"/>
  <c r="G41"/>
  <c r="G144"/>
  <c r="G145" s="1"/>
  <c r="G146"/>
  <c r="G147" s="1"/>
  <c r="D19" i="40"/>
  <c r="G21" i="44" s="1"/>
  <c r="G20"/>
  <c r="G23"/>
  <c r="G126" s="1"/>
  <c r="G131" s="1"/>
  <c r="D22" i="40"/>
  <c r="G24" i="44" s="1"/>
  <c r="G117" s="1"/>
  <c r="G118" s="1"/>
  <c r="X102"/>
  <c r="X202" s="1"/>
  <c r="X244" s="1"/>
  <c r="O102"/>
  <c r="O202" s="1"/>
  <c r="O244" s="1"/>
  <c r="Y102"/>
  <c r="Y202" s="1"/>
  <c r="Y244" s="1"/>
  <c r="L102"/>
  <c r="L202" s="1"/>
  <c r="L223" s="1"/>
  <c r="K102"/>
  <c r="K202" s="1"/>
  <c r="K244" s="1"/>
  <c r="N102"/>
  <c r="N202" s="1"/>
  <c r="AC77"/>
  <c r="AC78" s="1"/>
  <c r="AC84"/>
  <c r="AC85" s="1"/>
  <c r="M23"/>
  <c r="J22" i="40"/>
  <c r="M24" i="44" s="1"/>
  <c r="M117" s="1"/>
  <c r="M118" s="1"/>
  <c r="Y77"/>
  <c r="Y78" s="1"/>
  <c r="Y84"/>
  <c r="Y85" s="1"/>
  <c r="R23"/>
  <c r="O22" i="40"/>
  <c r="R24" i="44" s="1"/>
  <c r="R117" s="1"/>
  <c r="R118" s="1"/>
  <c r="V247"/>
  <c r="V226"/>
  <c r="U22"/>
  <c r="AC22"/>
  <c r="AA20"/>
  <c r="X19" i="40"/>
  <c r="AA21" i="44" s="1"/>
  <c r="AD97"/>
  <c r="H99"/>
  <c r="AD99" s="1"/>
  <c r="H100"/>
  <c r="AD100" s="1"/>
  <c r="V23"/>
  <c r="S22" i="40"/>
  <c r="V24" i="44" s="1"/>
  <c r="V117" s="1"/>
  <c r="V118" s="1"/>
  <c r="Z22"/>
  <c r="O223"/>
  <c r="AD91"/>
  <c r="H93"/>
  <c r="H94"/>
  <c r="AD94" s="1"/>
  <c r="W41"/>
  <c r="W146"/>
  <c r="W147" s="1"/>
  <c r="W144"/>
  <c r="W145" s="1"/>
  <c r="H158"/>
  <c r="AD158" s="1"/>
  <c r="AD157"/>
  <c r="J23"/>
  <c r="G22" i="40"/>
  <c r="J24" i="44" s="1"/>
  <c r="J117" s="1"/>
  <c r="J118" s="1"/>
  <c r="K144"/>
  <c r="K145" s="1"/>
  <c r="K41"/>
  <c r="K146"/>
  <c r="K147" s="1"/>
  <c r="S41"/>
  <c r="S146"/>
  <c r="S147" s="1"/>
  <c r="S144"/>
  <c r="S145" s="1"/>
  <c r="U19" i="40"/>
  <c r="X21" i="44" s="1"/>
  <c r="X20"/>
  <c r="Y22"/>
  <c r="O84"/>
  <c r="O85" s="1"/>
  <c r="O77"/>
  <c r="O78" s="1"/>
  <c r="I22"/>
  <c r="P226"/>
  <c r="P247"/>
  <c r="Q19" i="40"/>
  <c r="T21" i="44" s="1"/>
  <c r="T20"/>
  <c r="O41"/>
  <c r="O146"/>
  <c r="O147" s="1"/>
  <c r="O144"/>
  <c r="O145" s="1"/>
  <c r="E19" i="40"/>
  <c r="H21" i="44" s="1"/>
  <c r="H20"/>
  <c r="M19" i="40"/>
  <c r="P21" i="44" s="1"/>
  <c r="P20"/>
  <c r="AB22"/>
  <c r="N41"/>
  <c r="N144"/>
  <c r="N145" s="1"/>
  <c r="N146"/>
  <c r="N147" s="1"/>
  <c r="AA226"/>
  <c r="AA247"/>
  <c r="Y223"/>
  <c r="L23"/>
  <c r="I22" i="40"/>
  <c r="L24" i="44" s="1"/>
  <c r="L117" s="1"/>
  <c r="L118" s="1"/>
  <c r="N19" i="40"/>
  <c r="Q21" i="44" s="1"/>
  <c r="Q20"/>
  <c r="M84"/>
  <c r="M85" s="1"/>
  <c r="M77"/>
  <c r="M78" s="1"/>
  <c r="U247"/>
  <c r="U226"/>
  <c r="AB102"/>
  <c r="AB202" s="1"/>
  <c r="AC247"/>
  <c r="AC226"/>
  <c r="M41"/>
  <c r="M146"/>
  <c r="M147" s="1"/>
  <c r="M144"/>
  <c r="M145" s="1"/>
  <c r="R41"/>
  <c r="R146"/>
  <c r="R147" s="1"/>
  <c r="R144"/>
  <c r="R145" s="1"/>
  <c r="R19" i="40"/>
  <c r="U21" i="44" s="1"/>
  <c r="U20"/>
  <c r="Z19" i="40"/>
  <c r="AC21" i="44" s="1"/>
  <c r="AC20"/>
  <c r="AA23"/>
  <c r="X22" i="40"/>
  <c r="AA24" i="44" s="1"/>
  <c r="AA117" s="1"/>
  <c r="AA118" s="1"/>
  <c r="V41"/>
  <c r="V146"/>
  <c r="V147" s="1"/>
  <c r="V144"/>
  <c r="V145" s="1"/>
  <c r="W77"/>
  <c r="W78" s="1"/>
  <c r="W84"/>
  <c r="W85" s="1"/>
  <c r="W19" i="40"/>
  <c r="Z21" i="44" s="1"/>
  <c r="Z20"/>
  <c r="N223"/>
  <c r="N244"/>
  <c r="W22"/>
  <c r="J247"/>
  <c r="J226"/>
  <c r="H160"/>
  <c r="AD159"/>
  <c r="H205"/>
  <c r="AD138"/>
  <c r="J41"/>
  <c r="J146"/>
  <c r="J147" s="1"/>
  <c r="J144"/>
  <c r="J145" s="1"/>
  <c r="K22"/>
  <c r="S22"/>
  <c r="AB84"/>
  <c r="AB85" s="1"/>
  <c r="AB77"/>
  <c r="AB78" s="1"/>
  <c r="X23"/>
  <c r="U22" i="40"/>
  <c r="X24" i="44" s="1"/>
  <c r="X117" s="1"/>
  <c r="X118" s="1"/>
  <c r="T84"/>
  <c r="T85" s="1"/>
  <c r="T77"/>
  <c r="T78" s="1"/>
  <c r="V19" i="40"/>
  <c r="Y21" i="44" s="1"/>
  <c r="Y20"/>
  <c r="F19" i="40"/>
  <c r="I21" i="44" s="1"/>
  <c r="I20"/>
  <c r="P77"/>
  <c r="P78" s="1"/>
  <c r="P84"/>
  <c r="P85" s="1"/>
  <c r="T23"/>
  <c r="Q22" i="40"/>
  <c r="T24" i="44" s="1"/>
  <c r="T117" s="1"/>
  <c r="T118" s="1"/>
  <c r="O22"/>
  <c r="N226"/>
  <c r="N247"/>
  <c r="H23"/>
  <c r="E22" i="40"/>
  <c r="H24" i="44" s="1"/>
  <c r="P23"/>
  <c r="M22" i="40"/>
  <c r="P24" i="44" s="1"/>
  <c r="P117" s="1"/>
  <c r="P118" s="1"/>
  <c r="S226"/>
  <c r="S247"/>
  <c r="Y19" i="40"/>
  <c r="AB21" i="44" s="1"/>
  <c r="AB20"/>
  <c r="N22"/>
  <c r="L84"/>
  <c r="L85" s="1"/>
  <c r="L77"/>
  <c r="L78" s="1"/>
  <c r="Q226"/>
  <c r="Q247"/>
  <c r="L41"/>
  <c r="L146"/>
  <c r="L147" s="1"/>
  <c r="L144"/>
  <c r="L145" s="1"/>
  <c r="Q23"/>
  <c r="N22" i="40"/>
  <c r="Q24" i="44" s="1"/>
  <c r="Q117" s="1"/>
  <c r="Q118" s="1"/>
  <c r="M226"/>
  <c r="M247"/>
  <c r="I247"/>
  <c r="I226"/>
  <c r="U102"/>
  <c r="U202" s="1"/>
  <c r="R102"/>
  <c r="R202" s="1"/>
  <c r="J102"/>
  <c r="J202" s="1"/>
  <c r="P102"/>
  <c r="P202" s="1"/>
  <c r="M22"/>
  <c r="R22"/>
  <c r="U23"/>
  <c r="R22" i="40"/>
  <c r="U24" i="44" s="1"/>
  <c r="U117" s="1"/>
  <c r="U118" s="1"/>
  <c r="AC23"/>
  <c r="Z22" i="40"/>
  <c r="AC24" i="44" s="1"/>
  <c r="AC117" s="1"/>
  <c r="AC118" s="1"/>
  <c r="AA41"/>
  <c r="AA144"/>
  <c r="AA145" s="1"/>
  <c r="AA146"/>
  <c r="AA147" s="1"/>
  <c r="V22"/>
  <c r="Z23"/>
  <c r="W22" i="40"/>
  <c r="Z24" i="44" s="1"/>
  <c r="Z117" s="1"/>
  <c r="Z118" s="1"/>
  <c r="Z84"/>
  <c r="Z85" s="1"/>
  <c r="Z77"/>
  <c r="Z78" s="1"/>
  <c r="T19" i="40"/>
  <c r="W21" i="44" s="1"/>
  <c r="W20"/>
  <c r="J84"/>
  <c r="J85" s="1"/>
  <c r="J77"/>
  <c r="J78" s="1"/>
  <c r="K84"/>
  <c r="K85" s="1"/>
  <c r="K77"/>
  <c r="K78" s="1"/>
  <c r="J22"/>
  <c r="H19" i="40"/>
  <c r="K21" i="44" s="1"/>
  <c r="K20"/>
  <c r="S20"/>
  <c r="P19" i="40"/>
  <c r="S21" i="44" s="1"/>
  <c r="AB226"/>
  <c r="AB247"/>
  <c r="X41"/>
  <c r="X146"/>
  <c r="X147" s="1"/>
  <c r="X144"/>
  <c r="X145" s="1"/>
  <c r="T226"/>
  <c r="T247"/>
  <c r="Y23"/>
  <c r="V22" i="40"/>
  <c r="Y24" i="44" s="1"/>
  <c r="Y117" s="1"/>
  <c r="Y118" s="1"/>
  <c r="O226"/>
  <c r="O247"/>
  <c r="X84"/>
  <c r="X85" s="1"/>
  <c r="X77"/>
  <c r="X78" s="1"/>
  <c r="I23"/>
  <c r="F22" i="40"/>
  <c r="I24" i="44" s="1"/>
  <c r="I117" s="1"/>
  <c r="I118" s="1"/>
  <c r="T41"/>
  <c r="T144"/>
  <c r="T145" s="1"/>
  <c r="T146"/>
  <c r="T147" s="1"/>
  <c r="O20"/>
  <c r="L19" i="40"/>
  <c r="O21" i="44" s="1"/>
  <c r="H41"/>
  <c r="H146"/>
  <c r="AD11"/>
  <c r="H144"/>
  <c r="P41"/>
  <c r="P146"/>
  <c r="P147" s="1"/>
  <c r="P144"/>
  <c r="P145" s="1"/>
  <c r="S84"/>
  <c r="S85" s="1"/>
  <c r="S77"/>
  <c r="S78" s="1"/>
  <c r="AB23"/>
  <c r="Y22" i="40"/>
  <c r="AB24" i="44" s="1"/>
  <c r="AB117" s="1"/>
  <c r="AB118" s="1"/>
  <c r="K19" i="40"/>
  <c r="N21" i="44" s="1"/>
  <c r="N20"/>
  <c r="L247"/>
  <c r="L226"/>
  <c r="R77"/>
  <c r="R78" s="1"/>
  <c r="R84"/>
  <c r="R85" s="1"/>
  <c r="L22"/>
  <c r="Q41"/>
  <c r="Q146"/>
  <c r="Q147" s="1"/>
  <c r="Q144"/>
  <c r="Q145" s="1"/>
  <c r="I77"/>
  <c r="I78" s="1"/>
  <c r="I84"/>
  <c r="I85" s="1"/>
  <c r="U77"/>
  <c r="U78" s="1"/>
  <c r="U84"/>
  <c r="U85" s="1"/>
  <c r="Q102"/>
  <c r="Q202" s="1"/>
  <c r="M102"/>
  <c r="M202" s="1"/>
  <c r="AC102"/>
  <c r="AC202" s="1"/>
  <c r="Z102"/>
  <c r="Z202" s="1"/>
  <c r="S102"/>
  <c r="S202" s="1"/>
  <c r="AA102"/>
  <c r="AA202" s="1"/>
  <c r="AD65"/>
  <c r="J19" i="40"/>
  <c r="M21" i="44" s="1"/>
  <c r="M20"/>
  <c r="Y226"/>
  <c r="Y247"/>
  <c r="O19" i="40"/>
  <c r="R21" i="44" s="1"/>
  <c r="R20"/>
  <c r="V77"/>
  <c r="V78" s="1"/>
  <c r="V84"/>
  <c r="V85" s="1"/>
  <c r="U41"/>
  <c r="U146"/>
  <c r="U147" s="1"/>
  <c r="U144"/>
  <c r="U145" s="1"/>
  <c r="AC41"/>
  <c r="AC146"/>
  <c r="AC147" s="1"/>
  <c r="AC144"/>
  <c r="AC145" s="1"/>
  <c r="AA22"/>
  <c r="S19" i="40"/>
  <c r="V21" i="44" s="1"/>
  <c r="V20"/>
  <c r="W247"/>
  <c r="W226"/>
  <c r="Z41"/>
  <c r="Z144"/>
  <c r="Z145" s="1"/>
  <c r="Z146"/>
  <c r="Z147" s="1"/>
  <c r="Z226"/>
  <c r="Z247"/>
  <c r="W23"/>
  <c r="T22" i="40"/>
  <c r="W24" i="44" s="1"/>
  <c r="W117" s="1"/>
  <c r="W118" s="1"/>
  <c r="K247"/>
  <c r="K226"/>
  <c r="AD68"/>
  <c r="H84"/>
  <c r="H77"/>
  <c r="J20"/>
  <c r="G19" i="40"/>
  <c r="J21" i="44" s="1"/>
  <c r="K23"/>
  <c r="H22" i="40"/>
  <c r="K24" i="44" s="1"/>
  <c r="K117" s="1"/>
  <c r="K118" s="1"/>
  <c r="S23"/>
  <c r="P22" i="40"/>
  <c r="S24" i="44" s="1"/>
  <c r="S117" s="1"/>
  <c r="S118" s="1"/>
  <c r="X22"/>
  <c r="Y41"/>
  <c r="Y146"/>
  <c r="Y147" s="1"/>
  <c r="Y144"/>
  <c r="Y145" s="1"/>
  <c r="X226"/>
  <c r="X247"/>
  <c r="I41"/>
  <c r="I146"/>
  <c r="I147" s="1"/>
  <c r="I144"/>
  <c r="I145" s="1"/>
  <c r="T22"/>
  <c r="O23"/>
  <c r="L22" i="40"/>
  <c r="O24" i="44" s="1"/>
  <c r="O117" s="1"/>
  <c r="O118" s="1"/>
  <c r="N84"/>
  <c r="N85" s="1"/>
  <c r="N77"/>
  <c r="N78" s="1"/>
  <c r="H22"/>
  <c r="P22"/>
  <c r="AB41"/>
  <c r="AB146"/>
  <c r="AB147" s="1"/>
  <c r="AB144"/>
  <c r="AB145" s="1"/>
  <c r="N23"/>
  <c r="K22" i="40"/>
  <c r="N24" i="44" s="1"/>
  <c r="N117" s="1"/>
  <c r="N118" s="1"/>
  <c r="AA84"/>
  <c r="AA85" s="1"/>
  <c r="AA77"/>
  <c r="AA78" s="1"/>
  <c r="Q84"/>
  <c r="Q85" s="1"/>
  <c r="Q77"/>
  <c r="Q78" s="1"/>
  <c r="R226"/>
  <c r="R247"/>
  <c r="I19" i="40"/>
  <c r="L21" i="44" s="1"/>
  <c r="L20"/>
  <c r="Q22"/>
  <c r="V102"/>
  <c r="V202" s="1"/>
  <c r="W102"/>
  <c r="W202" s="1"/>
  <c r="I102"/>
  <c r="I202" s="1"/>
  <c r="T102"/>
  <c r="T202" s="1"/>
  <c r="F231" i="46"/>
  <c r="F211"/>
  <c r="AD182"/>
  <c r="G223" i="44" l="1"/>
  <c r="G125"/>
  <c r="G130" s="1"/>
  <c r="G57"/>
  <c r="G58" s="1"/>
  <c r="G201" s="1"/>
  <c r="G50"/>
  <c r="G51" s="1"/>
  <c r="G200" s="1"/>
  <c r="G106"/>
  <c r="G115" s="1"/>
  <c r="G203" s="1"/>
  <c r="G173"/>
  <c r="G174" s="1"/>
  <c r="G169"/>
  <c r="G170" s="1"/>
  <c r="G171"/>
  <c r="G172" s="1"/>
  <c r="G127"/>
  <c r="G132" s="1"/>
  <c r="G133" s="1"/>
  <c r="G204" s="1"/>
  <c r="G197"/>
  <c r="O197"/>
  <c r="V197"/>
  <c r="AC197"/>
  <c r="AC218" s="1"/>
  <c r="AC219" s="1"/>
  <c r="M197"/>
  <c r="M198" s="1"/>
  <c r="I90" i="24" s="1"/>
  <c r="I97" s="1"/>
  <c r="X223" i="44"/>
  <c r="P197"/>
  <c r="R197"/>
  <c r="L244"/>
  <c r="J197"/>
  <c r="J239" s="1"/>
  <c r="K223"/>
  <c r="AA197"/>
  <c r="AA239" s="1"/>
  <c r="Y197"/>
  <c r="Y198" s="1"/>
  <c r="U90" i="24" s="1"/>
  <c r="U97" s="1"/>
  <c r="Z197" i="44"/>
  <c r="Z198" s="1"/>
  <c r="V90" i="24" s="1"/>
  <c r="V97" s="1"/>
  <c r="S197" i="44"/>
  <c r="S239" s="1"/>
  <c r="Q197"/>
  <c r="Q239" s="1"/>
  <c r="T197"/>
  <c r="T198" s="1"/>
  <c r="P90" i="24" s="1"/>
  <c r="P97" s="1"/>
  <c r="L197" i="44"/>
  <c r="L198" s="1"/>
  <c r="H90" i="24" s="1"/>
  <c r="H97" s="1"/>
  <c r="J198" i="44"/>
  <c r="F90" i="24" s="1"/>
  <c r="F97" s="1"/>
  <c r="AC198" i="44"/>
  <c r="Y90" i="24" s="1"/>
  <c r="Y97" s="1"/>
  <c r="AC239" i="44"/>
  <c r="N173"/>
  <c r="N174" s="1"/>
  <c r="N106"/>
  <c r="N171"/>
  <c r="N172" s="1"/>
  <c r="N169"/>
  <c r="N170" s="1"/>
  <c r="N127"/>
  <c r="N132" s="1"/>
  <c r="I57"/>
  <c r="I58" s="1"/>
  <c r="I201" s="1"/>
  <c r="I50"/>
  <c r="I51" s="1"/>
  <c r="I200" s="1"/>
  <c r="W173"/>
  <c r="W174" s="1"/>
  <c r="W171"/>
  <c r="W172" s="1"/>
  <c r="W106"/>
  <c r="W169"/>
  <c r="W170" s="1"/>
  <c r="W127"/>
  <c r="W132" s="1"/>
  <c r="AA198"/>
  <c r="W90" i="24" s="1"/>
  <c r="W97" s="1"/>
  <c r="AA218" i="44"/>
  <c r="AA219" s="1"/>
  <c r="AC244"/>
  <c r="AC223"/>
  <c r="X50"/>
  <c r="X51" s="1"/>
  <c r="X200" s="1"/>
  <c r="X57"/>
  <c r="X58" s="1"/>
  <c r="X201" s="1"/>
  <c r="J125"/>
  <c r="J130" s="1"/>
  <c r="J126"/>
  <c r="J131" s="1"/>
  <c r="Z106"/>
  <c r="Z171"/>
  <c r="Z172" s="1"/>
  <c r="Z169"/>
  <c r="Z170" s="1"/>
  <c r="Z127"/>
  <c r="Z132" s="1"/>
  <c r="Z173"/>
  <c r="Z174" s="1"/>
  <c r="R198"/>
  <c r="N90" i="24" s="1"/>
  <c r="N97" s="1"/>
  <c r="R218" i="44"/>
  <c r="R219" s="1"/>
  <c r="R239"/>
  <c r="L50"/>
  <c r="L51" s="1"/>
  <c r="L200" s="1"/>
  <c r="L57"/>
  <c r="L58" s="1"/>
  <c r="L201" s="1"/>
  <c r="N125"/>
  <c r="N130" s="1"/>
  <c r="N126"/>
  <c r="N131" s="1"/>
  <c r="H173"/>
  <c r="H106"/>
  <c r="AD23"/>
  <c r="H171"/>
  <c r="H169"/>
  <c r="H127"/>
  <c r="O126"/>
  <c r="O131" s="1"/>
  <c r="O125"/>
  <c r="O130" s="1"/>
  <c r="X173"/>
  <c r="X174" s="1"/>
  <c r="X106"/>
  <c r="X171"/>
  <c r="X172" s="1"/>
  <c r="X169"/>
  <c r="X170" s="1"/>
  <c r="X127"/>
  <c r="X132" s="1"/>
  <c r="S125"/>
  <c r="S130" s="1"/>
  <c r="S126"/>
  <c r="S131" s="1"/>
  <c r="AA106"/>
  <c r="AA169"/>
  <c r="AA170" s="1"/>
  <c r="AA127"/>
  <c r="AA132" s="1"/>
  <c r="AA171"/>
  <c r="AA172" s="1"/>
  <c r="AA173"/>
  <c r="AA174" s="1"/>
  <c r="M50"/>
  <c r="M51" s="1"/>
  <c r="M200" s="1"/>
  <c r="M57"/>
  <c r="M58" s="1"/>
  <c r="M201" s="1"/>
  <c r="AB125"/>
  <c r="AB130" s="1"/>
  <c r="AB126"/>
  <c r="AB131" s="1"/>
  <c r="S218"/>
  <c r="S219" s="1"/>
  <c r="K50"/>
  <c r="K51" s="1"/>
  <c r="K200" s="1"/>
  <c r="K57"/>
  <c r="K58" s="1"/>
  <c r="K201" s="1"/>
  <c r="W57"/>
  <c r="W58" s="1"/>
  <c r="W201" s="1"/>
  <c r="W50"/>
  <c r="W51" s="1"/>
  <c r="W200" s="1"/>
  <c r="AC126"/>
  <c r="AC131" s="1"/>
  <c r="AC125"/>
  <c r="AC130" s="1"/>
  <c r="AD21"/>
  <c r="I244"/>
  <c r="I223"/>
  <c r="V244"/>
  <c r="V223"/>
  <c r="AB50"/>
  <c r="AB51" s="1"/>
  <c r="AB200" s="1"/>
  <c r="AB57"/>
  <c r="AB58" s="1"/>
  <c r="AB201" s="1"/>
  <c r="H125"/>
  <c r="AD22"/>
  <c r="H126"/>
  <c r="O173"/>
  <c r="O174" s="1"/>
  <c r="O171"/>
  <c r="O172" s="1"/>
  <c r="O169"/>
  <c r="O170" s="1"/>
  <c r="O106"/>
  <c r="O127"/>
  <c r="O132" s="1"/>
  <c r="X125"/>
  <c r="X130" s="1"/>
  <c r="X126"/>
  <c r="X131" s="1"/>
  <c r="K106"/>
  <c r="K169"/>
  <c r="K170" s="1"/>
  <c r="K173"/>
  <c r="K174" s="1"/>
  <c r="K171"/>
  <c r="K172" s="1"/>
  <c r="K127"/>
  <c r="K132" s="1"/>
  <c r="H85"/>
  <c r="AD85" s="1"/>
  <c r="AD84"/>
  <c r="AA125"/>
  <c r="AA130" s="1"/>
  <c r="AA126"/>
  <c r="AA131" s="1"/>
  <c r="AA223"/>
  <c r="AA244"/>
  <c r="Z223"/>
  <c r="Z244"/>
  <c r="V198"/>
  <c r="R90" i="24" s="1"/>
  <c r="R97" s="1"/>
  <c r="V218" i="44"/>
  <c r="V219" s="1"/>
  <c r="V239"/>
  <c r="Q50"/>
  <c r="Q51" s="1"/>
  <c r="Q200" s="1"/>
  <c r="Q57"/>
  <c r="Q58" s="1"/>
  <c r="Q201" s="1"/>
  <c r="H145"/>
  <c r="AD145" s="1"/>
  <c r="AD144"/>
  <c r="T50"/>
  <c r="T51" s="1"/>
  <c r="T200" s="1"/>
  <c r="T57"/>
  <c r="T58" s="1"/>
  <c r="T201" s="1"/>
  <c r="Y127"/>
  <c r="Y132" s="1"/>
  <c r="Y173"/>
  <c r="Y174" s="1"/>
  <c r="Y106"/>
  <c r="Y169"/>
  <c r="Y170" s="1"/>
  <c r="Y171"/>
  <c r="Y172" s="1"/>
  <c r="AC173"/>
  <c r="AC174" s="1"/>
  <c r="AC127"/>
  <c r="AC132" s="1"/>
  <c r="AC106"/>
  <c r="AC171"/>
  <c r="AC172" s="1"/>
  <c r="AC169"/>
  <c r="AC170" s="1"/>
  <c r="R125"/>
  <c r="R130" s="1"/>
  <c r="R126"/>
  <c r="R131" s="1"/>
  <c r="J244"/>
  <c r="J223"/>
  <c r="U244"/>
  <c r="U223"/>
  <c r="H117"/>
  <c r="AD24"/>
  <c r="O115"/>
  <c r="O203" s="1"/>
  <c r="H247"/>
  <c r="H226"/>
  <c r="D226" s="1"/>
  <c r="F18" i="24" s="1"/>
  <c r="AB223" i="44"/>
  <c r="AB244"/>
  <c r="L106"/>
  <c r="L171"/>
  <c r="L172" s="1"/>
  <c r="L169"/>
  <c r="L170" s="1"/>
  <c r="L173"/>
  <c r="L174" s="1"/>
  <c r="L127"/>
  <c r="L132" s="1"/>
  <c r="O50"/>
  <c r="O51" s="1"/>
  <c r="O200" s="1"/>
  <c r="O57"/>
  <c r="O58" s="1"/>
  <c r="O201" s="1"/>
  <c r="J171"/>
  <c r="J172" s="1"/>
  <c r="J169"/>
  <c r="J170" s="1"/>
  <c r="J106"/>
  <c r="J115" s="1"/>
  <c r="J203" s="1"/>
  <c r="J173"/>
  <c r="J174" s="1"/>
  <c r="J127"/>
  <c r="J132" s="1"/>
  <c r="Z126"/>
  <c r="Z131" s="1"/>
  <c r="Z125"/>
  <c r="Z130" s="1"/>
  <c r="U197"/>
  <c r="AD20"/>
  <c r="P198"/>
  <c r="L90" i="24" s="1"/>
  <c r="L97" s="1"/>
  <c r="P218" i="44"/>
  <c r="P219" s="1"/>
  <c r="P239"/>
  <c r="H78"/>
  <c r="AD78" s="1"/>
  <c r="AD77"/>
  <c r="AC50"/>
  <c r="AC51" s="1"/>
  <c r="AC200" s="1"/>
  <c r="AC57"/>
  <c r="AC58" s="1"/>
  <c r="AC201" s="1"/>
  <c r="Q223"/>
  <c r="Q244"/>
  <c r="P57"/>
  <c r="P58" s="1"/>
  <c r="P201" s="1"/>
  <c r="P50"/>
  <c r="P51" s="1"/>
  <c r="P200" s="1"/>
  <c r="H50"/>
  <c r="AD41"/>
  <c r="H57"/>
  <c r="V125"/>
  <c r="V130" s="1"/>
  <c r="V126"/>
  <c r="V131" s="1"/>
  <c r="P223"/>
  <c r="P244"/>
  <c r="R223"/>
  <c r="R244"/>
  <c r="P173"/>
  <c r="P174" s="1"/>
  <c r="P169"/>
  <c r="P170" s="1"/>
  <c r="P171"/>
  <c r="P172" s="1"/>
  <c r="P106"/>
  <c r="P127"/>
  <c r="P132" s="1"/>
  <c r="T173"/>
  <c r="T174" s="1"/>
  <c r="T169"/>
  <c r="T170" s="1"/>
  <c r="T171"/>
  <c r="T172" s="1"/>
  <c r="T106"/>
  <c r="T127"/>
  <c r="T132" s="1"/>
  <c r="K125"/>
  <c r="K130" s="1"/>
  <c r="K126"/>
  <c r="K131" s="1"/>
  <c r="V57"/>
  <c r="V58" s="1"/>
  <c r="V201" s="1"/>
  <c r="V50"/>
  <c r="V51" s="1"/>
  <c r="V200" s="1"/>
  <c r="N50"/>
  <c r="N51" s="1"/>
  <c r="N200" s="1"/>
  <c r="N57"/>
  <c r="N58" s="1"/>
  <c r="N201" s="1"/>
  <c r="S57"/>
  <c r="S58" s="1"/>
  <c r="S201" s="1"/>
  <c r="S50"/>
  <c r="S51" s="1"/>
  <c r="S200" s="1"/>
  <c r="AD93"/>
  <c r="H102"/>
  <c r="U125"/>
  <c r="U130" s="1"/>
  <c r="U126"/>
  <c r="U131" s="1"/>
  <c r="R106"/>
  <c r="R173"/>
  <c r="R174" s="1"/>
  <c r="R171"/>
  <c r="R172" s="1"/>
  <c r="R169"/>
  <c r="R170" s="1"/>
  <c r="R127"/>
  <c r="R132" s="1"/>
  <c r="M171"/>
  <c r="M172" s="1"/>
  <c r="M169"/>
  <c r="M170" s="1"/>
  <c r="M106"/>
  <c r="M173"/>
  <c r="M174" s="1"/>
  <c r="M127"/>
  <c r="M132" s="1"/>
  <c r="I197"/>
  <c r="I198" s="1"/>
  <c r="E90" i="24" s="1"/>
  <c r="E97" s="1"/>
  <c r="X197" i="44"/>
  <c r="W197"/>
  <c r="M239"/>
  <c r="T223"/>
  <c r="T244"/>
  <c r="Q125"/>
  <c r="Q130" s="1"/>
  <c r="Q126"/>
  <c r="Q131" s="1"/>
  <c r="W244"/>
  <c r="W223"/>
  <c r="P125"/>
  <c r="P130" s="1"/>
  <c r="P126"/>
  <c r="P131" s="1"/>
  <c r="T125"/>
  <c r="T130" s="1"/>
  <c r="T126"/>
  <c r="T131" s="1"/>
  <c r="Y57"/>
  <c r="Y58" s="1"/>
  <c r="Y201" s="1"/>
  <c r="Y50"/>
  <c r="Y51" s="1"/>
  <c r="Y200" s="1"/>
  <c r="S106"/>
  <c r="S169"/>
  <c r="S170" s="1"/>
  <c r="S173"/>
  <c r="S174" s="1"/>
  <c r="S171"/>
  <c r="S172" s="1"/>
  <c r="S127"/>
  <c r="S132" s="1"/>
  <c r="Z50"/>
  <c r="Z51" s="1"/>
  <c r="Z200" s="1"/>
  <c r="Z57"/>
  <c r="Z58" s="1"/>
  <c r="Z201" s="1"/>
  <c r="U57"/>
  <c r="U58" s="1"/>
  <c r="U201" s="1"/>
  <c r="U50"/>
  <c r="U51" s="1"/>
  <c r="U200" s="1"/>
  <c r="S223"/>
  <c r="S244"/>
  <c r="M223"/>
  <c r="M244"/>
  <c r="L125"/>
  <c r="L130" s="1"/>
  <c r="L126"/>
  <c r="L131" s="1"/>
  <c r="AB171"/>
  <c r="AB172" s="1"/>
  <c r="AB106"/>
  <c r="AB169"/>
  <c r="AB170" s="1"/>
  <c r="AB173"/>
  <c r="AB174" s="1"/>
  <c r="AB127"/>
  <c r="AB132" s="1"/>
  <c r="H147"/>
  <c r="AD147" s="1"/>
  <c r="AD146"/>
  <c r="I173"/>
  <c r="I174" s="1"/>
  <c r="I171"/>
  <c r="I172" s="1"/>
  <c r="I106"/>
  <c r="I115" s="1"/>
  <c r="I203" s="1"/>
  <c r="I169"/>
  <c r="I170" s="1"/>
  <c r="I127"/>
  <c r="I132" s="1"/>
  <c r="AA57"/>
  <c r="AA58" s="1"/>
  <c r="AA201" s="1"/>
  <c r="AA50"/>
  <c r="AA51" s="1"/>
  <c r="AA200" s="1"/>
  <c r="U169"/>
  <c r="U170" s="1"/>
  <c r="U171"/>
  <c r="U172" s="1"/>
  <c r="U106"/>
  <c r="U173"/>
  <c r="U174" s="1"/>
  <c r="U127"/>
  <c r="U132" s="1"/>
  <c r="M125"/>
  <c r="M130" s="1"/>
  <c r="M126"/>
  <c r="M131" s="1"/>
  <c r="O198"/>
  <c r="K90" i="24" s="1"/>
  <c r="K97" s="1"/>
  <c r="O239" i="44"/>
  <c r="O218"/>
  <c r="O219" s="1"/>
  <c r="Q169"/>
  <c r="Q170" s="1"/>
  <c r="Q173"/>
  <c r="Q174" s="1"/>
  <c r="Q106"/>
  <c r="Q171"/>
  <c r="Q172" s="1"/>
  <c r="Q127"/>
  <c r="Q132" s="1"/>
  <c r="K115"/>
  <c r="K203" s="1"/>
  <c r="J57"/>
  <c r="J58" s="1"/>
  <c r="J201" s="1"/>
  <c r="J50"/>
  <c r="J51" s="1"/>
  <c r="J200" s="1"/>
  <c r="AD160"/>
  <c r="AG19" s="1"/>
  <c r="W125"/>
  <c r="W130" s="1"/>
  <c r="W126"/>
  <c r="W131" s="1"/>
  <c r="R57"/>
  <c r="R58" s="1"/>
  <c r="R201" s="1"/>
  <c r="R50"/>
  <c r="R51" s="1"/>
  <c r="R200" s="1"/>
  <c r="I125"/>
  <c r="I130" s="1"/>
  <c r="I126"/>
  <c r="I131" s="1"/>
  <c r="Y125"/>
  <c r="Y130" s="1"/>
  <c r="Y126"/>
  <c r="Y131" s="1"/>
  <c r="V171"/>
  <c r="V172" s="1"/>
  <c r="V169"/>
  <c r="V170" s="1"/>
  <c r="V173"/>
  <c r="V174" s="1"/>
  <c r="V106"/>
  <c r="V127"/>
  <c r="V132" s="1"/>
  <c r="U115"/>
  <c r="U203" s="1"/>
  <c r="AB197"/>
  <c r="N197"/>
  <c r="K197"/>
  <c r="F213" i="46"/>
  <c r="F214" s="1"/>
  <c r="B89" i="24"/>
  <c r="D231" i="46"/>
  <c r="F232"/>
  <c r="F234" s="1"/>
  <c r="D234" s="1"/>
  <c r="D213"/>
  <c r="AD186"/>
  <c r="F190"/>
  <c r="E192"/>
  <c r="F188"/>
  <c r="E186"/>
  <c r="E22" i="24" l="1"/>
  <c r="G239" i="44"/>
  <c r="G198"/>
  <c r="C90" i="24" s="1"/>
  <c r="C97" s="1"/>
  <c r="G218" i="44"/>
  <c r="G219" s="1"/>
  <c r="G246"/>
  <c r="G225"/>
  <c r="G243"/>
  <c r="G222"/>
  <c r="G242"/>
  <c r="G221"/>
  <c r="G245"/>
  <c r="G224"/>
  <c r="P133"/>
  <c r="P204" s="1"/>
  <c r="P225" s="1"/>
  <c r="M218"/>
  <c r="M219" s="1"/>
  <c r="Z239"/>
  <c r="T218"/>
  <c r="T219" s="1"/>
  <c r="Y239"/>
  <c r="Y218"/>
  <c r="Y219" s="1"/>
  <c r="T239"/>
  <c r="Y133"/>
  <c r="Y204" s="1"/>
  <c r="S198"/>
  <c r="O90" i="24" s="1"/>
  <c r="O97" s="1"/>
  <c r="Z218" i="44"/>
  <c r="Z219" s="1"/>
  <c r="Q218"/>
  <c r="Q219" s="1"/>
  <c r="L239"/>
  <c r="J218"/>
  <c r="J219" s="1"/>
  <c r="X133"/>
  <c r="X204" s="1"/>
  <c r="X225" s="1"/>
  <c r="L218"/>
  <c r="L219" s="1"/>
  <c r="Q115"/>
  <c r="Q203" s="1"/>
  <c r="AA115"/>
  <c r="AA203" s="1"/>
  <c r="AA224" s="1"/>
  <c r="X115"/>
  <c r="X203" s="1"/>
  <c r="X245" s="1"/>
  <c r="Q198"/>
  <c r="M90" i="24" s="1"/>
  <c r="M97" s="1"/>
  <c r="H197" i="44"/>
  <c r="H198" s="1"/>
  <c r="D90" i="24" s="1"/>
  <c r="D97" s="1"/>
  <c r="I133" i="44"/>
  <c r="I204" s="1"/>
  <c r="I225" s="1"/>
  <c r="L133"/>
  <c r="L204" s="1"/>
  <c r="L246" s="1"/>
  <c r="Z115"/>
  <c r="Z203" s="1"/>
  <c r="Z245" s="1"/>
  <c r="N115"/>
  <c r="N203" s="1"/>
  <c r="N224" s="1"/>
  <c r="K133"/>
  <c r="K204" s="1"/>
  <c r="K225" s="1"/>
  <c r="W115"/>
  <c r="W203" s="1"/>
  <c r="W224" s="1"/>
  <c r="N242"/>
  <c r="N221"/>
  <c r="AC242"/>
  <c r="AC221"/>
  <c r="U224"/>
  <c r="U245"/>
  <c r="J242"/>
  <c r="J221"/>
  <c r="AA243"/>
  <c r="AA222"/>
  <c r="Z242"/>
  <c r="Z221"/>
  <c r="M221"/>
  <c r="M242"/>
  <c r="S222"/>
  <c r="S243"/>
  <c r="V243"/>
  <c r="V222"/>
  <c r="P242"/>
  <c r="P221"/>
  <c r="AC222"/>
  <c r="AC243"/>
  <c r="O222"/>
  <c r="O243"/>
  <c r="O224"/>
  <c r="O245"/>
  <c r="N245"/>
  <c r="T242"/>
  <c r="T221"/>
  <c r="Q221"/>
  <c r="Q242"/>
  <c r="H131"/>
  <c r="AD131" s="1"/>
  <c r="AD126"/>
  <c r="AB221"/>
  <c r="AB242"/>
  <c r="K222"/>
  <c r="K243"/>
  <c r="X242"/>
  <c r="X221"/>
  <c r="I242"/>
  <c r="I221"/>
  <c r="V133"/>
  <c r="V204" s="1"/>
  <c r="AC133"/>
  <c r="AC204" s="1"/>
  <c r="N133"/>
  <c r="N204" s="1"/>
  <c r="N198"/>
  <c r="J90" i="24" s="1"/>
  <c r="J97" s="1"/>
  <c r="N239" i="44"/>
  <c r="N218"/>
  <c r="N219" s="1"/>
  <c r="K224"/>
  <c r="K245"/>
  <c r="AA221"/>
  <c r="AA242"/>
  <c r="Z243"/>
  <c r="Z222"/>
  <c r="Y222"/>
  <c r="Y243"/>
  <c r="W198"/>
  <c r="S90" i="24" s="1"/>
  <c r="S97" s="1"/>
  <c r="W239" i="44"/>
  <c r="W218"/>
  <c r="W219" s="1"/>
  <c r="S242"/>
  <c r="S221"/>
  <c r="V221"/>
  <c r="V242"/>
  <c r="H51"/>
  <c r="AD50"/>
  <c r="T222"/>
  <c r="T243"/>
  <c r="Q243"/>
  <c r="Q222"/>
  <c r="AB222"/>
  <c r="AB243"/>
  <c r="W243"/>
  <c r="W222"/>
  <c r="M222"/>
  <c r="M243"/>
  <c r="AD171"/>
  <c r="H172"/>
  <c r="AD172" s="1"/>
  <c r="X222"/>
  <c r="X243"/>
  <c r="AB115"/>
  <c r="AB203" s="1"/>
  <c r="O133"/>
  <c r="O204" s="1"/>
  <c r="M115"/>
  <c r="M203" s="1"/>
  <c r="T115"/>
  <c r="T203" s="1"/>
  <c r="K198"/>
  <c r="G90" i="24" s="1"/>
  <c r="G97" s="1"/>
  <c r="K218" i="44"/>
  <c r="K219" s="1"/>
  <c r="K239"/>
  <c r="R243"/>
  <c r="R222"/>
  <c r="H218"/>
  <c r="H219" s="1"/>
  <c r="H239"/>
  <c r="AB198"/>
  <c r="X90" i="24" s="1"/>
  <c r="X97" s="1"/>
  <c r="AB239" i="44"/>
  <c r="AB218"/>
  <c r="AB219" s="1"/>
  <c r="R221"/>
  <c r="R242"/>
  <c r="Q245"/>
  <c r="Q224"/>
  <c r="U222"/>
  <c r="U243"/>
  <c r="Y242"/>
  <c r="Y221"/>
  <c r="I239"/>
  <c r="I218"/>
  <c r="I219" s="1"/>
  <c r="U198"/>
  <c r="Q90" i="24" s="1"/>
  <c r="Q97" s="1"/>
  <c r="U239" i="44"/>
  <c r="U218"/>
  <c r="U219" s="1"/>
  <c r="H118"/>
  <c r="AD118" s="1"/>
  <c r="AD117"/>
  <c r="AD125"/>
  <c r="H130"/>
  <c r="W221"/>
  <c r="W242"/>
  <c r="H170"/>
  <c r="AD170" s="1"/>
  <c r="AD169"/>
  <c r="H174"/>
  <c r="AD174" s="1"/>
  <c r="AD173"/>
  <c r="L221"/>
  <c r="L242"/>
  <c r="V115"/>
  <c r="V203" s="1"/>
  <c r="U133"/>
  <c r="U204" s="1"/>
  <c r="R115"/>
  <c r="R203" s="1"/>
  <c r="S115"/>
  <c r="S203" s="1"/>
  <c r="R133"/>
  <c r="R204" s="1"/>
  <c r="Y115"/>
  <c r="Y203" s="1"/>
  <c r="AB133"/>
  <c r="AB204" s="1"/>
  <c r="J133"/>
  <c r="J204" s="1"/>
  <c r="L115"/>
  <c r="L203" s="1"/>
  <c r="Y246"/>
  <c r="Y225"/>
  <c r="J243"/>
  <c r="J222"/>
  <c r="I224"/>
  <c r="I245"/>
  <c r="U242"/>
  <c r="U221"/>
  <c r="X198"/>
  <c r="T90" i="24" s="1"/>
  <c r="T97" s="1"/>
  <c r="X239" i="44"/>
  <c r="X218"/>
  <c r="X219" s="1"/>
  <c r="H202"/>
  <c r="AD102"/>
  <c r="N222"/>
  <c r="N243"/>
  <c r="H58"/>
  <c r="AD57"/>
  <c r="P222"/>
  <c r="P243"/>
  <c r="J245"/>
  <c r="J224"/>
  <c r="O221"/>
  <c r="O242"/>
  <c r="K242"/>
  <c r="K221"/>
  <c r="H132"/>
  <c r="AD132" s="1"/>
  <c r="AD127"/>
  <c r="AD106"/>
  <c r="L222"/>
  <c r="L243"/>
  <c r="I243"/>
  <c r="I222"/>
  <c r="W133"/>
  <c r="W204" s="1"/>
  <c r="M133"/>
  <c r="M204" s="1"/>
  <c r="T133"/>
  <c r="T204" s="1"/>
  <c r="Q133"/>
  <c r="Q204" s="1"/>
  <c r="Z133"/>
  <c r="Z204" s="1"/>
  <c r="AC115"/>
  <c r="AC203" s="1"/>
  <c r="AA133"/>
  <c r="AA204" s="1"/>
  <c r="S133"/>
  <c r="S204" s="1"/>
  <c r="P115"/>
  <c r="P203" s="1"/>
  <c r="D254" i="46"/>
  <c r="E42" i="24" s="1"/>
  <c r="E19"/>
  <c r="D235" i="46"/>
  <c r="E23" i="24" s="1"/>
  <c r="D224" i="46"/>
  <c r="E12" i="24" s="1"/>
  <c r="E188" i="46"/>
  <c r="AD188"/>
  <c r="AD190"/>
  <c r="E190"/>
  <c r="K246" i="44" l="1"/>
  <c r="P246"/>
  <c r="Z97" i="24"/>
  <c r="Z224" i="44"/>
  <c r="L225"/>
  <c r="X246"/>
  <c r="X224"/>
  <c r="W245"/>
  <c r="AA245"/>
  <c r="I246"/>
  <c r="J246"/>
  <c r="J225"/>
  <c r="S224"/>
  <c r="S245"/>
  <c r="AD130"/>
  <c r="H133"/>
  <c r="AB224"/>
  <c r="AB245"/>
  <c r="AC246"/>
  <c r="AC225"/>
  <c r="M246"/>
  <c r="M225"/>
  <c r="T246"/>
  <c r="T225"/>
  <c r="H244"/>
  <c r="H223"/>
  <c r="D223" s="1"/>
  <c r="F15" i="24" s="1"/>
  <c r="L224" i="44"/>
  <c r="L245"/>
  <c r="R246"/>
  <c r="R225"/>
  <c r="V224"/>
  <c r="V245"/>
  <c r="T245"/>
  <c r="T224"/>
  <c r="O246"/>
  <c r="O225"/>
  <c r="N246"/>
  <c r="N225"/>
  <c r="D218"/>
  <c r="AA246"/>
  <c r="AA225"/>
  <c r="S246"/>
  <c r="S225"/>
  <c r="Q246"/>
  <c r="Q225"/>
  <c r="Y224"/>
  <c r="Y245"/>
  <c r="U246"/>
  <c r="U225"/>
  <c r="H200"/>
  <c r="AD51"/>
  <c r="V246"/>
  <c r="V225"/>
  <c r="H115"/>
  <c r="AC224"/>
  <c r="AC245"/>
  <c r="P245"/>
  <c r="P224"/>
  <c r="Z246"/>
  <c r="Z225"/>
  <c r="W246"/>
  <c r="W225"/>
  <c r="H201"/>
  <c r="AD58"/>
  <c r="AB246"/>
  <c r="AB225"/>
  <c r="R245"/>
  <c r="R224"/>
  <c r="M224"/>
  <c r="M245"/>
  <c r="F170" i="45"/>
  <c r="AD171"/>
  <c r="F172"/>
  <c r="F10" i="24" l="1"/>
  <c r="D214" i="44"/>
  <c r="F6" i="24" s="1"/>
  <c r="AG18" i="44"/>
  <c r="H203"/>
  <c r="AD115"/>
  <c r="H242"/>
  <c r="H221"/>
  <c r="D221" s="1"/>
  <c r="F13" i="24" s="1"/>
  <c r="H204" i="44"/>
  <c r="AD133"/>
  <c r="H243"/>
  <c r="H222"/>
  <c r="D222" s="1"/>
  <c r="F14" i="24" s="1"/>
  <c r="AD172" i="45"/>
  <c r="AD170"/>
  <c r="AD169"/>
  <c r="H224" i="44" l="1"/>
  <c r="D224" s="1"/>
  <c r="F16" i="24" s="1"/>
  <c r="H245" i="44"/>
  <c r="H246"/>
  <c r="H225"/>
  <c r="D225" s="1"/>
  <c r="F17" i="24" s="1"/>
  <c r="S166" i="44" l="1"/>
  <c r="R166"/>
  <c r="X166"/>
  <c r="H166"/>
  <c r="AC166"/>
  <c r="T166"/>
  <c r="P166"/>
  <c r="AB166"/>
  <c r="V166"/>
  <c r="W166"/>
  <c r="Z166"/>
  <c r="G166"/>
  <c r="O166"/>
  <c r="F166"/>
  <c r="Q166"/>
  <c r="I166"/>
  <c r="L166"/>
  <c r="K166"/>
  <c r="AA166"/>
  <c r="Y166"/>
  <c r="Y164"/>
  <c r="I164"/>
  <c r="Z164"/>
  <c r="J164"/>
  <c r="U166"/>
  <c r="K164"/>
  <c r="N166"/>
  <c r="AA164"/>
  <c r="M164"/>
  <c r="L164"/>
  <c r="F164"/>
  <c r="X164"/>
  <c r="AC164"/>
  <c r="V164"/>
  <c r="O164"/>
  <c r="Q164"/>
  <c r="P164"/>
  <c r="J166"/>
  <c r="G164"/>
  <c r="S164"/>
  <c r="N164"/>
  <c r="T164"/>
  <c r="AB164"/>
  <c r="W164"/>
  <c r="U164"/>
  <c r="R164"/>
  <c r="H164"/>
  <c r="M166"/>
  <c r="AD165" l="1"/>
  <c r="AD166"/>
  <c r="AD164"/>
  <c r="AD163"/>
  <c r="I150" l="1"/>
  <c r="I151" s="1"/>
  <c r="V150"/>
  <c r="V151" s="1"/>
  <c r="M150"/>
  <c r="M151" s="1"/>
  <c r="G150"/>
  <c r="G151" s="1"/>
  <c r="R150"/>
  <c r="R151" s="1"/>
  <c r="M152"/>
  <c r="M153" s="1"/>
  <c r="H150"/>
  <c r="H151" s="1"/>
  <c r="W150"/>
  <c r="W151" s="1"/>
  <c r="Z150"/>
  <c r="Z151" s="1"/>
  <c r="AB152"/>
  <c r="AB153" s="1"/>
  <c r="G152"/>
  <c r="G153" s="1"/>
  <c r="N150"/>
  <c r="N151" s="1"/>
  <c r="AA150"/>
  <c r="AA151" s="1"/>
  <c r="X150"/>
  <c r="X151" s="1"/>
  <c r="L152"/>
  <c r="L153" s="1"/>
  <c r="U150"/>
  <c r="U151" s="1"/>
  <c r="S152"/>
  <c r="S153" s="1"/>
  <c r="F150"/>
  <c r="K152"/>
  <c r="K153" s="1"/>
  <c r="O150"/>
  <c r="O151" s="1"/>
  <c r="P150"/>
  <c r="P151" s="1"/>
  <c r="Y150"/>
  <c r="Y151" s="1"/>
  <c r="P152"/>
  <c r="P153" s="1"/>
  <c r="S150"/>
  <c r="S151" s="1"/>
  <c r="J150"/>
  <c r="J151" s="1"/>
  <c r="AC150"/>
  <c r="AC151" s="1"/>
  <c r="L150"/>
  <c r="L151" s="1"/>
  <c r="O152"/>
  <c r="O153" s="1"/>
  <c r="J152"/>
  <c r="J153" s="1"/>
  <c r="AB150"/>
  <c r="AB151" s="1"/>
  <c r="T150"/>
  <c r="T151" s="1"/>
  <c r="Q150"/>
  <c r="Q151" s="1"/>
  <c r="K150"/>
  <c r="K151" s="1"/>
  <c r="O206" l="1"/>
  <c r="O248" s="1"/>
  <c r="O176"/>
  <c r="O180" s="1"/>
  <c r="M206"/>
  <c r="M248" s="1"/>
  <c r="M176"/>
  <c r="M180" s="1"/>
  <c r="K206"/>
  <c r="K248" s="1"/>
  <c r="K176"/>
  <c r="K180" s="1"/>
  <c r="AB206"/>
  <c r="AB248" s="1"/>
  <c r="AB176"/>
  <c r="AB180" s="1"/>
  <c r="G206"/>
  <c r="G248" s="1"/>
  <c r="G176"/>
  <c r="G180" s="1"/>
  <c r="L206"/>
  <c r="L248" s="1"/>
  <c r="L176"/>
  <c r="L180" s="1"/>
  <c r="S206"/>
  <c r="S248" s="1"/>
  <c r="S176"/>
  <c r="S180" s="1"/>
  <c r="P206"/>
  <c r="P248" s="1"/>
  <c r="P176"/>
  <c r="P180" s="1"/>
  <c r="J206"/>
  <c r="J248" s="1"/>
  <c r="J176"/>
  <c r="J180" s="1"/>
  <c r="AD150"/>
  <c r="F151"/>
  <c r="Z152"/>
  <c r="Z153" s="1"/>
  <c r="Z176" s="1"/>
  <c r="Z180" s="1"/>
  <c r="U152"/>
  <c r="U153" s="1"/>
  <c r="U176" s="1"/>
  <c r="U180" s="1"/>
  <c r="N152"/>
  <c r="N153" s="1"/>
  <c r="N176" s="1"/>
  <c r="N180" s="1"/>
  <c r="X152"/>
  <c r="X153" s="1"/>
  <c r="X176" s="1"/>
  <c r="X180" s="1"/>
  <c r="V152"/>
  <c r="V153" s="1"/>
  <c r="V206" s="1"/>
  <c r="V248" s="1"/>
  <c r="F152"/>
  <c r="Y152"/>
  <c r="Y153" s="1"/>
  <c r="Y176" s="1"/>
  <c r="Y180" s="1"/>
  <c r="AA152"/>
  <c r="AA153" s="1"/>
  <c r="AA176" s="1"/>
  <c r="AA180" s="1"/>
  <c r="AC152"/>
  <c r="AC153" s="1"/>
  <c r="AC176" s="1"/>
  <c r="AC180" s="1"/>
  <c r="H152"/>
  <c r="H153" s="1"/>
  <c r="H176" s="1"/>
  <c r="H180" s="1"/>
  <c r="R152"/>
  <c r="R153" s="1"/>
  <c r="R206" s="1"/>
  <c r="R248" s="1"/>
  <c r="I152"/>
  <c r="I153" s="1"/>
  <c r="I176" s="1"/>
  <c r="I180" s="1"/>
  <c r="W152"/>
  <c r="W153" s="1"/>
  <c r="W206" s="1"/>
  <c r="W248" s="1"/>
  <c r="T152"/>
  <c r="T153" s="1"/>
  <c r="T176" s="1"/>
  <c r="T180" s="1"/>
  <c r="Q152"/>
  <c r="Q153" s="1"/>
  <c r="Q206" s="1"/>
  <c r="Q248" s="1"/>
  <c r="V176" l="1"/>
  <c r="V180" s="1"/>
  <c r="V184" s="1"/>
  <c r="W176"/>
  <c r="W180" s="1"/>
  <c r="W182" s="1"/>
  <c r="R176"/>
  <c r="R180" s="1"/>
  <c r="R184" s="1"/>
  <c r="Q176"/>
  <c r="Q180" s="1"/>
  <c r="Q184" s="1"/>
  <c r="AA184"/>
  <c r="AA182"/>
  <c r="W227"/>
  <c r="W228" s="1"/>
  <c r="W230" s="1"/>
  <c r="W207"/>
  <c r="AC184"/>
  <c r="AC182"/>
  <c r="V227"/>
  <c r="V228" s="1"/>
  <c r="V230" s="1"/>
  <c r="V207"/>
  <c r="Z182"/>
  <c r="Z184"/>
  <c r="I184"/>
  <c r="I182"/>
  <c r="T184"/>
  <c r="T182"/>
  <c r="H184"/>
  <c r="H182"/>
  <c r="U184"/>
  <c r="U182"/>
  <c r="X184"/>
  <c r="X182"/>
  <c r="Q227"/>
  <c r="Q228" s="1"/>
  <c r="Q230" s="1"/>
  <c r="Q207"/>
  <c r="R227"/>
  <c r="R228" s="1"/>
  <c r="R230" s="1"/>
  <c r="R207"/>
  <c r="Y182"/>
  <c r="Y184"/>
  <c r="N184"/>
  <c r="N182"/>
  <c r="L182"/>
  <c r="L184"/>
  <c r="J227"/>
  <c r="J228" s="1"/>
  <c r="J230" s="1"/>
  <c r="J207"/>
  <c r="S227"/>
  <c r="S228" s="1"/>
  <c r="S230" s="1"/>
  <c r="S207"/>
  <c r="K227"/>
  <c r="K228" s="1"/>
  <c r="K230" s="1"/>
  <c r="K207"/>
  <c r="I206"/>
  <c r="I248" s="1"/>
  <c r="X206"/>
  <c r="X248" s="1"/>
  <c r="T206"/>
  <c r="T248" s="1"/>
  <c r="AA206"/>
  <c r="AA248" s="1"/>
  <c r="N206"/>
  <c r="N248" s="1"/>
  <c r="Y206"/>
  <c r="Y248" s="1"/>
  <c r="AC206"/>
  <c r="AC248" s="1"/>
  <c r="H206"/>
  <c r="H248" s="1"/>
  <c r="J182"/>
  <c r="J184"/>
  <c r="S182"/>
  <c r="S184"/>
  <c r="K182"/>
  <c r="K184"/>
  <c r="V182"/>
  <c r="P227"/>
  <c r="P228" s="1"/>
  <c r="P230" s="1"/>
  <c r="P207"/>
  <c r="L227"/>
  <c r="L228" s="1"/>
  <c r="L230" s="1"/>
  <c r="L207"/>
  <c r="G227"/>
  <c r="G228" s="1"/>
  <c r="G230" s="1"/>
  <c r="G207"/>
  <c r="AB227"/>
  <c r="AB228" s="1"/>
  <c r="AB230" s="1"/>
  <c r="AB207"/>
  <c r="M227"/>
  <c r="M228" s="1"/>
  <c r="M230" s="1"/>
  <c r="M207"/>
  <c r="O227"/>
  <c r="O228" s="1"/>
  <c r="O230" s="1"/>
  <c r="O207"/>
  <c r="U206"/>
  <c r="U248" s="1"/>
  <c r="Z206"/>
  <c r="Z248" s="1"/>
  <c r="AD151"/>
  <c r="R182"/>
  <c r="P182"/>
  <c r="P184"/>
  <c r="G184"/>
  <c r="G182"/>
  <c r="AB184"/>
  <c r="AB182"/>
  <c r="M184"/>
  <c r="M182"/>
  <c r="O184"/>
  <c r="O182"/>
  <c r="F153"/>
  <c r="AD153" s="1"/>
  <c r="AD152"/>
  <c r="X156" i="45"/>
  <c r="X157" s="1"/>
  <c r="H156"/>
  <c r="H157" s="1"/>
  <c r="AC156"/>
  <c r="AC157" s="1"/>
  <c r="U156"/>
  <c r="U157" s="1"/>
  <c r="M156"/>
  <c r="M157" s="1"/>
  <c r="Z156"/>
  <c r="Z157" s="1"/>
  <c r="R156"/>
  <c r="R157" s="1"/>
  <c r="J156"/>
  <c r="J157" s="1"/>
  <c r="W156"/>
  <c r="W157" s="1"/>
  <c r="O156"/>
  <c r="O157" s="1"/>
  <c r="G156"/>
  <c r="G157" s="1"/>
  <c r="Q156"/>
  <c r="Q157" s="1"/>
  <c r="N156"/>
  <c r="N157" s="1"/>
  <c r="AA156"/>
  <c r="AA157" s="1"/>
  <c r="K156"/>
  <c r="K157" s="1"/>
  <c r="AB156"/>
  <c r="AB157" s="1"/>
  <c r="L156"/>
  <c r="L157" s="1"/>
  <c r="P156"/>
  <c r="P157" s="1"/>
  <c r="O158"/>
  <c r="O159" s="1"/>
  <c r="Y156"/>
  <c r="Y157" s="1"/>
  <c r="I156"/>
  <c r="I157" s="1"/>
  <c r="V156"/>
  <c r="V157" s="1"/>
  <c r="M158"/>
  <c r="M159" s="1"/>
  <c r="S156"/>
  <c r="S157" s="1"/>
  <c r="F156"/>
  <c r="Z158"/>
  <c r="Z159" s="1"/>
  <c r="N158"/>
  <c r="N159" s="1"/>
  <c r="J158"/>
  <c r="J159" s="1"/>
  <c r="T156"/>
  <c r="T157" s="1"/>
  <c r="Q182" i="44" l="1"/>
  <c r="W184"/>
  <c r="O209"/>
  <c r="O210" s="1"/>
  <c r="K91" i="24"/>
  <c r="AB209" i="44"/>
  <c r="AB210" s="1"/>
  <c r="X91" i="24"/>
  <c r="L209" i="44"/>
  <c r="L210" s="1"/>
  <c r="H91" i="24"/>
  <c r="W209" i="44"/>
  <c r="W210" s="1"/>
  <c r="S91" i="24"/>
  <c r="K209" i="44"/>
  <c r="K210" s="1"/>
  <c r="G91" i="24"/>
  <c r="J209" i="44"/>
  <c r="J210" s="1"/>
  <c r="F91" i="24"/>
  <c r="Q209" i="44"/>
  <c r="Q210" s="1"/>
  <c r="M91" i="24"/>
  <c r="V209" i="44"/>
  <c r="V210" s="1"/>
  <c r="R91" i="24"/>
  <c r="M209" i="44"/>
  <c r="M210" s="1"/>
  <c r="I91" i="24"/>
  <c r="G209" i="44"/>
  <c r="C91" i="24"/>
  <c r="P209" i="44"/>
  <c r="P210" s="1"/>
  <c r="L91" i="24"/>
  <c r="S209" i="44"/>
  <c r="S210" s="1"/>
  <c r="O91" i="24"/>
  <c r="R209" i="44"/>
  <c r="R210" s="1"/>
  <c r="N91" i="24"/>
  <c r="Y227" i="44"/>
  <c r="Y228" s="1"/>
  <c r="Y230" s="1"/>
  <c r="Y207"/>
  <c r="X227"/>
  <c r="X228" s="1"/>
  <c r="X230" s="1"/>
  <c r="X207"/>
  <c r="AC227"/>
  <c r="AC228" s="1"/>
  <c r="AC230" s="1"/>
  <c r="AC207"/>
  <c r="T227"/>
  <c r="T228" s="1"/>
  <c r="T230" s="1"/>
  <c r="T207"/>
  <c r="F206"/>
  <c r="F248" s="1"/>
  <c r="U227"/>
  <c r="U228" s="1"/>
  <c r="U230" s="1"/>
  <c r="U207"/>
  <c r="H227"/>
  <c r="H228" s="1"/>
  <c r="H230" s="1"/>
  <c r="H207"/>
  <c r="AA227"/>
  <c r="AA228" s="1"/>
  <c r="AA230" s="1"/>
  <c r="AA207"/>
  <c r="F176"/>
  <c r="Z227"/>
  <c r="Z228" s="1"/>
  <c r="Z230" s="1"/>
  <c r="Z207"/>
  <c r="N227"/>
  <c r="N228" s="1"/>
  <c r="N230" s="1"/>
  <c r="N207"/>
  <c r="I227"/>
  <c r="I228" s="1"/>
  <c r="I230" s="1"/>
  <c r="I207"/>
  <c r="O213" i="45"/>
  <c r="O255" s="1"/>
  <c r="O182"/>
  <c r="O186" s="1"/>
  <c r="J213"/>
  <c r="J255" s="1"/>
  <c r="J182"/>
  <c r="J186" s="1"/>
  <c r="M213"/>
  <c r="M255" s="1"/>
  <c r="M182"/>
  <c r="M186" s="1"/>
  <c r="N213"/>
  <c r="N255" s="1"/>
  <c r="N182"/>
  <c r="N186" s="1"/>
  <c r="Z213"/>
  <c r="Z255" s="1"/>
  <c r="Z182"/>
  <c r="Z186" s="1"/>
  <c r="AD156"/>
  <c r="F157"/>
  <c r="R158"/>
  <c r="R159" s="1"/>
  <c r="R182" s="1"/>
  <c r="R186" s="1"/>
  <c r="X158"/>
  <c r="X159" s="1"/>
  <c r="X213" s="1"/>
  <c r="X255" s="1"/>
  <c r="G158"/>
  <c r="G159" s="1"/>
  <c r="G182" s="1"/>
  <c r="G186" s="1"/>
  <c r="V158"/>
  <c r="V159" s="1"/>
  <c r="V182" s="1"/>
  <c r="V186" s="1"/>
  <c r="I158"/>
  <c r="I159" s="1"/>
  <c r="I182" s="1"/>
  <c r="I186" s="1"/>
  <c r="Y158"/>
  <c r="Y159" s="1"/>
  <c r="Y182" s="1"/>
  <c r="Y186" s="1"/>
  <c r="L158"/>
  <c r="L159" s="1"/>
  <c r="L213" s="1"/>
  <c r="L255" s="1"/>
  <c r="AB158"/>
  <c r="AB159" s="1"/>
  <c r="AB213" s="1"/>
  <c r="AB255" s="1"/>
  <c r="K158"/>
  <c r="K159" s="1"/>
  <c r="K182" s="1"/>
  <c r="K186" s="1"/>
  <c r="AA158"/>
  <c r="AA159" s="1"/>
  <c r="AA182" s="1"/>
  <c r="AA186" s="1"/>
  <c r="AC158"/>
  <c r="AC159" s="1"/>
  <c r="AC182" s="1"/>
  <c r="AC186" s="1"/>
  <c r="P158"/>
  <c r="P159" s="1"/>
  <c r="P213" s="1"/>
  <c r="P255" s="1"/>
  <c r="F158"/>
  <c r="U158"/>
  <c r="U159" s="1"/>
  <c r="U182" s="1"/>
  <c r="U186" s="1"/>
  <c r="H158"/>
  <c r="H159" s="1"/>
  <c r="H213" s="1"/>
  <c r="H255" s="1"/>
  <c r="W158"/>
  <c r="W159" s="1"/>
  <c r="W182" s="1"/>
  <c r="W186" s="1"/>
  <c r="Q158"/>
  <c r="Q159" s="1"/>
  <c r="Q182" s="1"/>
  <c r="Q186" s="1"/>
  <c r="T158"/>
  <c r="T159" s="1"/>
  <c r="T213" s="1"/>
  <c r="T255" s="1"/>
  <c r="S158"/>
  <c r="S159" s="1"/>
  <c r="S182" s="1"/>
  <c r="S186" s="1"/>
  <c r="G210" i="44" l="1"/>
  <c r="AA209"/>
  <c r="AA210" s="1"/>
  <c r="W91" i="24"/>
  <c r="U209" i="44"/>
  <c r="U210" s="1"/>
  <c r="Q91" i="24"/>
  <c r="N209" i="44"/>
  <c r="N210" s="1"/>
  <c r="J91" i="24"/>
  <c r="T209" i="44"/>
  <c r="T210" s="1"/>
  <c r="P91" i="24"/>
  <c r="X209" i="44"/>
  <c r="X210" s="1"/>
  <c r="T91" i="24"/>
  <c r="H209" i="44"/>
  <c r="H210" s="1"/>
  <c r="D91" i="24"/>
  <c r="I209" i="44"/>
  <c r="I210" s="1"/>
  <c r="E91" i="24"/>
  <c r="Z209" i="44"/>
  <c r="Z210" s="1"/>
  <c r="V91" i="24"/>
  <c r="AC209" i="44"/>
  <c r="AC210" s="1"/>
  <c r="Y91" i="24"/>
  <c r="Y209" i="44"/>
  <c r="Y210" s="1"/>
  <c r="U91" i="24"/>
  <c r="F227" i="44"/>
  <c r="F207"/>
  <c r="AD176"/>
  <c r="F180"/>
  <c r="I190" i="45"/>
  <c r="I188"/>
  <c r="R190"/>
  <c r="R188"/>
  <c r="U188"/>
  <c r="U190"/>
  <c r="AA190"/>
  <c r="AA188"/>
  <c r="Y190"/>
  <c r="Y188"/>
  <c r="X234"/>
  <c r="X235" s="1"/>
  <c r="X237" s="1"/>
  <c r="X214"/>
  <c r="Q188"/>
  <c r="Q190"/>
  <c r="T234"/>
  <c r="T235" s="1"/>
  <c r="T237" s="1"/>
  <c r="T214"/>
  <c r="AC188"/>
  <c r="AC190"/>
  <c r="L234"/>
  <c r="L235" s="1"/>
  <c r="L237" s="1"/>
  <c r="L214"/>
  <c r="G190"/>
  <c r="G188"/>
  <c r="K188"/>
  <c r="K190"/>
  <c r="S188"/>
  <c r="S190"/>
  <c r="H234"/>
  <c r="H235" s="1"/>
  <c r="H214"/>
  <c r="W188"/>
  <c r="W190"/>
  <c r="P234"/>
  <c r="P235" s="1"/>
  <c r="P237" s="1"/>
  <c r="P214"/>
  <c r="AB234"/>
  <c r="AB235" s="1"/>
  <c r="AB237" s="1"/>
  <c r="AB214"/>
  <c r="V188"/>
  <c r="V190"/>
  <c r="N234"/>
  <c r="N235" s="1"/>
  <c r="N237" s="1"/>
  <c r="N214"/>
  <c r="O234"/>
  <c r="O235" s="1"/>
  <c r="O237" s="1"/>
  <c r="O214"/>
  <c r="H182"/>
  <c r="H186" s="1"/>
  <c r="I213"/>
  <c r="I255" s="1"/>
  <c r="X182"/>
  <c r="X186" s="1"/>
  <c r="Q213"/>
  <c r="Q255" s="1"/>
  <c r="Y213"/>
  <c r="Y255" s="1"/>
  <c r="U213"/>
  <c r="U255" s="1"/>
  <c r="G213"/>
  <c r="G255" s="1"/>
  <c r="AC213"/>
  <c r="AC255" s="1"/>
  <c r="P182"/>
  <c r="P186" s="1"/>
  <c r="W213"/>
  <c r="W255" s="1"/>
  <c r="N190"/>
  <c r="N188"/>
  <c r="O188"/>
  <c r="O190"/>
  <c r="Z234"/>
  <c r="Z235" s="1"/>
  <c r="Z237" s="1"/>
  <c r="Z214"/>
  <c r="M234"/>
  <c r="M235" s="1"/>
  <c r="M237" s="1"/>
  <c r="M214"/>
  <c r="J234"/>
  <c r="J235" s="1"/>
  <c r="J237" s="1"/>
  <c r="J214"/>
  <c r="L182"/>
  <c r="L186" s="1"/>
  <c r="T182"/>
  <c r="T186" s="1"/>
  <c r="AB182"/>
  <c r="AB186" s="1"/>
  <c r="S213"/>
  <c r="S255" s="1"/>
  <c r="K213"/>
  <c r="K255" s="1"/>
  <c r="R213"/>
  <c r="R255" s="1"/>
  <c r="AA213"/>
  <c r="AA255" s="1"/>
  <c r="V213"/>
  <c r="V255" s="1"/>
  <c r="AD157"/>
  <c r="Z188"/>
  <c r="Z190"/>
  <c r="M188"/>
  <c r="M190"/>
  <c r="J188"/>
  <c r="J190"/>
  <c r="AD158"/>
  <c r="F159"/>
  <c r="AD159" s="1"/>
  <c r="H237" l="1"/>
  <c r="B55" i="24"/>
  <c r="AB216" i="45"/>
  <c r="AB217" s="1"/>
  <c r="X87" i="24"/>
  <c r="X98" s="1"/>
  <c r="X99" s="1"/>
  <c r="X216" i="45"/>
  <c r="T87" i="24"/>
  <c r="T98" s="1"/>
  <c r="T99" s="1"/>
  <c r="J216" i="45"/>
  <c r="J217" s="1"/>
  <c r="F87" i="24"/>
  <c r="F98" s="1"/>
  <c r="F99" s="1"/>
  <c r="Z216" i="45"/>
  <c r="Z217" s="1"/>
  <c r="V87" i="24"/>
  <c r="V98" s="1"/>
  <c r="V99" s="1"/>
  <c r="N216" i="45"/>
  <c r="N217" s="1"/>
  <c r="J87" i="24"/>
  <c r="J98" s="1"/>
  <c r="J99" s="1"/>
  <c r="H216" i="45"/>
  <c r="D87" i="24"/>
  <c r="D98" s="1"/>
  <c r="D99" s="1"/>
  <c r="T216" i="45"/>
  <c r="T217" s="1"/>
  <c r="P87" i="24"/>
  <c r="P98" s="1"/>
  <c r="P99" s="1"/>
  <c r="F209" i="44"/>
  <c r="D229" s="1"/>
  <c r="F21" i="24" s="1"/>
  <c r="B91"/>
  <c r="P216" i="45"/>
  <c r="P217" s="1"/>
  <c r="L87" i="24"/>
  <c r="L98" s="1"/>
  <c r="L99" s="1"/>
  <c r="L216" i="45"/>
  <c r="L217" s="1"/>
  <c r="H87" i="24"/>
  <c r="H98" s="1"/>
  <c r="H99" s="1"/>
  <c r="M216" i="45"/>
  <c r="M217" s="1"/>
  <c r="I87" i="24"/>
  <c r="I98" s="1"/>
  <c r="I99" s="1"/>
  <c r="O216" i="45"/>
  <c r="O217" s="1"/>
  <c r="K87" i="24"/>
  <c r="K98" s="1"/>
  <c r="K99" s="1"/>
  <c r="D227" i="44"/>
  <c r="F228"/>
  <c r="F230" s="1"/>
  <c r="D230" s="1"/>
  <c r="D209"/>
  <c r="AD180"/>
  <c r="F182"/>
  <c r="F184"/>
  <c r="E186"/>
  <c r="F182" i="45"/>
  <c r="AD182" s="1"/>
  <c r="P190"/>
  <c r="P188"/>
  <c r="Y234"/>
  <c r="Y235" s="1"/>
  <c r="Y237" s="1"/>
  <c r="Y214"/>
  <c r="H190"/>
  <c r="H188"/>
  <c r="X217"/>
  <c r="AA234"/>
  <c r="AA235" s="1"/>
  <c r="AA237" s="1"/>
  <c r="AA214"/>
  <c r="V234"/>
  <c r="V235" s="1"/>
  <c r="V237" s="1"/>
  <c r="V214"/>
  <c r="S234"/>
  <c r="S235" s="1"/>
  <c r="S237" s="1"/>
  <c r="S214"/>
  <c r="W234"/>
  <c r="W235" s="1"/>
  <c r="W237" s="1"/>
  <c r="W214"/>
  <c r="U234"/>
  <c r="U235" s="1"/>
  <c r="U237" s="1"/>
  <c r="U214"/>
  <c r="I234"/>
  <c r="I235" s="1"/>
  <c r="I237" s="1"/>
  <c r="I214"/>
  <c r="K234"/>
  <c r="K235" s="1"/>
  <c r="K237" s="1"/>
  <c r="K214"/>
  <c r="L190"/>
  <c r="L188"/>
  <c r="G234"/>
  <c r="G235" s="1"/>
  <c r="G237" s="1"/>
  <c r="G214"/>
  <c r="X190"/>
  <c r="X188"/>
  <c r="AB188"/>
  <c r="AB190"/>
  <c r="R234"/>
  <c r="R235" s="1"/>
  <c r="R237" s="1"/>
  <c r="R214"/>
  <c r="T188"/>
  <c r="T190"/>
  <c r="AC234"/>
  <c r="AC235" s="1"/>
  <c r="AC237" s="1"/>
  <c r="AC214"/>
  <c r="Q234"/>
  <c r="Q235" s="1"/>
  <c r="Q237" s="1"/>
  <c r="Q214"/>
  <c r="F213"/>
  <c r="F255" s="1"/>
  <c r="H217" l="1"/>
  <c r="D236"/>
  <c r="D21" i="24" s="1"/>
  <c r="H105"/>
  <c r="H102"/>
  <c r="V105"/>
  <c r="V102"/>
  <c r="I105"/>
  <c r="I102"/>
  <c r="P105"/>
  <c r="P102"/>
  <c r="X105"/>
  <c r="X102"/>
  <c r="L105"/>
  <c r="L102"/>
  <c r="J105"/>
  <c r="J102"/>
  <c r="F105"/>
  <c r="F102"/>
  <c r="K105"/>
  <c r="K102"/>
  <c r="D105"/>
  <c r="D102"/>
  <c r="T105"/>
  <c r="T102"/>
  <c r="F186" i="45"/>
  <c r="F188" s="1"/>
  <c r="F210" i="44"/>
  <c r="D250"/>
  <c r="F42" i="24" s="1"/>
  <c r="Y216" i="45"/>
  <c r="Y217" s="1"/>
  <c r="U87" i="24"/>
  <c r="U98" s="1"/>
  <c r="U99" s="1"/>
  <c r="R216" i="45"/>
  <c r="R217" s="1"/>
  <c r="N87" i="24"/>
  <c r="N98" s="1"/>
  <c r="N99" s="1"/>
  <c r="F22"/>
  <c r="AC216" i="45"/>
  <c r="AC217" s="1"/>
  <c r="Y87" i="24"/>
  <c r="Y98" s="1"/>
  <c r="Y99" s="1"/>
  <c r="K216" i="45"/>
  <c r="K217" s="1"/>
  <c r="G87" i="24"/>
  <c r="G98" s="1"/>
  <c r="G99" s="1"/>
  <c r="I216" i="45"/>
  <c r="I217" s="1"/>
  <c r="E87" i="24"/>
  <c r="E98" s="1"/>
  <c r="E99" s="1"/>
  <c r="W216" i="45"/>
  <c r="W217" s="1"/>
  <c r="S87" i="24"/>
  <c r="S98" s="1"/>
  <c r="S99" s="1"/>
  <c r="V216" i="45"/>
  <c r="V217" s="1"/>
  <c r="R87" i="24"/>
  <c r="R98" s="1"/>
  <c r="R99" s="1"/>
  <c r="G216" i="45"/>
  <c r="G217" s="1"/>
  <c r="C87" i="24"/>
  <c r="C98" s="1"/>
  <c r="C99" s="1"/>
  <c r="Q216" i="45"/>
  <c r="Q217" s="1"/>
  <c r="M87" i="24"/>
  <c r="M98" s="1"/>
  <c r="M99" s="1"/>
  <c r="U216" i="45"/>
  <c r="U217" s="1"/>
  <c r="Q87" i="24"/>
  <c r="Q98" s="1"/>
  <c r="Q99" s="1"/>
  <c r="S216" i="45"/>
  <c r="S217" s="1"/>
  <c r="O87" i="24"/>
  <c r="O98" s="1"/>
  <c r="O99" s="1"/>
  <c r="AA216" i="45"/>
  <c r="AA217" s="1"/>
  <c r="W87" i="24"/>
  <c r="W98" s="1"/>
  <c r="W99" s="1"/>
  <c r="F19"/>
  <c r="D220" i="44"/>
  <c r="F12" i="24" s="1"/>
  <c r="F23"/>
  <c r="AD182" i="44"/>
  <c r="E182"/>
  <c r="AD184"/>
  <c r="E184"/>
  <c r="F234" i="45"/>
  <c r="F214"/>
  <c r="N105" i="24" l="1"/>
  <c r="N102"/>
  <c r="C105"/>
  <c r="C102"/>
  <c r="G105"/>
  <c r="G102"/>
  <c r="W105"/>
  <c r="W102"/>
  <c r="Q105"/>
  <c r="Q102"/>
  <c r="S105"/>
  <c r="S102"/>
  <c r="U105"/>
  <c r="U102"/>
  <c r="O105"/>
  <c r="O102"/>
  <c r="M105"/>
  <c r="M102"/>
  <c r="R105"/>
  <c r="R102"/>
  <c r="E105"/>
  <c r="E102"/>
  <c r="Y105"/>
  <c r="Y102"/>
  <c r="AD186" i="45"/>
  <c r="F190"/>
  <c r="E190" s="1"/>
  <c r="E186"/>
  <c r="E192"/>
  <c r="F216"/>
  <c r="B87" i="24"/>
  <c r="B98" s="1"/>
  <c r="D234" i="45"/>
  <c r="D19" i="24" s="1"/>
  <c r="F235" i="45"/>
  <c r="F237" s="1"/>
  <c r="D237" s="1"/>
  <c r="AD188"/>
  <c r="E188"/>
  <c r="AD190" l="1"/>
  <c r="D257"/>
  <c r="D42" i="24" s="1"/>
  <c r="F217" i="45"/>
  <c r="B99" i="24"/>
  <c r="B52"/>
  <c r="Z98"/>
  <c r="Z99" s="1"/>
  <c r="D216" i="45"/>
  <c r="D22" i="24" s="1"/>
  <c r="D227" i="45"/>
  <c r="D12" i="24" s="1"/>
  <c r="D238" i="45"/>
  <c r="D23" i="24" s="1"/>
  <c r="U243" i="47"/>
  <c r="G243"/>
  <c r="D239"/>
  <c r="B28" i="24" s="1"/>
  <c r="D242" i="47"/>
  <c r="B31" i="24" s="1"/>
  <c r="Q243" i="47"/>
  <c r="X243"/>
  <c r="D241"/>
  <c r="B30" i="24" s="1"/>
  <c r="V243" i="47"/>
  <c r="H243"/>
  <c r="AC243"/>
  <c r="M243"/>
  <c r="O243"/>
  <c r="P243"/>
  <c r="L243"/>
  <c r="T243"/>
  <c r="I243"/>
  <c r="S243"/>
  <c r="W243"/>
  <c r="Z243"/>
  <c r="J243"/>
  <c r="R243"/>
  <c r="Y243"/>
  <c r="N243"/>
  <c r="AB243"/>
  <c r="F243"/>
  <c r="D240"/>
  <c r="B29" i="24" s="1"/>
  <c r="K243" i="47"/>
  <c r="AA243"/>
  <c r="D248"/>
  <c r="B37" i="24" s="1"/>
  <c r="D247" i="47"/>
  <c r="B36" i="24" s="1"/>
  <c r="D246" i="47"/>
  <c r="B35" i="24" s="1"/>
  <c r="D251" i="47"/>
  <c r="B40" i="24" s="1"/>
  <c r="D249" i="47"/>
  <c r="B38" i="24" s="1"/>
  <c r="D250" i="47"/>
  <c r="B39" i="24" s="1"/>
  <c r="S252" i="47"/>
  <c r="Q252"/>
  <c r="D245"/>
  <c r="B34" i="24" s="1"/>
  <c r="F252" i="47"/>
  <c r="T252"/>
  <c r="T254" s="1"/>
  <c r="AA252"/>
  <c r="AA254" s="1"/>
  <c r="P252"/>
  <c r="P254" s="1"/>
  <c r="G252"/>
  <c r="G254" s="1"/>
  <c r="R252"/>
  <c r="AB252"/>
  <c r="AB254" s="1"/>
  <c r="H252"/>
  <c r="H254" s="1"/>
  <c r="O252"/>
  <c r="U252"/>
  <c r="AC252"/>
  <c r="AC254" s="1"/>
  <c r="V252"/>
  <c r="V254" s="1"/>
  <c r="M252"/>
  <c r="X252"/>
  <c r="J252"/>
  <c r="J254" s="1"/>
  <c r="W252"/>
  <c r="W254" s="1"/>
  <c r="N252"/>
  <c r="Y252"/>
  <c r="L252"/>
  <c r="L254" s="1"/>
  <c r="K252"/>
  <c r="Z252"/>
  <c r="I252"/>
  <c r="B105" i="24" l="1"/>
  <c r="B57" s="1"/>
  <c r="B102"/>
  <c r="B54" s="1"/>
  <c r="B51"/>
  <c r="K254" i="47"/>
  <c r="Z254"/>
  <c r="N254"/>
  <c r="M254"/>
  <c r="O254"/>
  <c r="F254"/>
  <c r="I254"/>
  <c r="Y254"/>
  <c r="X254"/>
  <c r="U254"/>
  <c r="R254"/>
  <c r="S254"/>
  <c r="D238"/>
  <c r="B27" i="24" s="1"/>
  <c r="Q254" i="47"/>
  <c r="D244"/>
  <c r="B33" i="24" s="1"/>
  <c r="D255" i="47"/>
  <c r="B44" i="24" s="1"/>
  <c r="D241" i="46"/>
  <c r="E29" i="24" s="1"/>
  <c r="R244" i="46"/>
  <c r="S244"/>
  <c r="AA244"/>
  <c r="AC244"/>
  <c r="F244"/>
  <c r="Y244"/>
  <c r="D243"/>
  <c r="E31" i="24" s="1"/>
  <c r="U244" i="46"/>
  <c r="K244"/>
  <c r="D242"/>
  <c r="E30" i="24" s="1"/>
  <c r="L244" i="46"/>
  <c r="T244"/>
  <c r="G244"/>
  <c r="AB244"/>
  <c r="M244"/>
  <c r="P244"/>
  <c r="H244"/>
  <c r="D240"/>
  <c r="V244"/>
  <c r="O244"/>
  <c r="Q244"/>
  <c r="N244"/>
  <c r="Z244"/>
  <c r="J244"/>
  <c r="W244"/>
  <c r="X244"/>
  <c r="I244"/>
  <c r="D252"/>
  <c r="E40" i="24" s="1"/>
  <c r="D248" i="46"/>
  <c r="E36" i="24" s="1"/>
  <c r="D247" i="46"/>
  <c r="E35" i="24" s="1"/>
  <c r="R253" i="46"/>
  <c r="R255" s="1"/>
  <c r="D249"/>
  <c r="E37" i="24" s="1"/>
  <c r="F253" i="46"/>
  <c r="F255" s="1"/>
  <c r="Y253"/>
  <c r="Y255" s="1"/>
  <c r="I253"/>
  <c r="I255" s="1"/>
  <c r="X253"/>
  <c r="X255" s="1"/>
  <c r="Z253"/>
  <c r="Z255" s="1"/>
  <c r="S253"/>
  <c r="S255" s="1"/>
  <c r="V253"/>
  <c r="V255" s="1"/>
  <c r="M253"/>
  <c r="M255" s="1"/>
  <c r="W253"/>
  <c r="W255" s="1"/>
  <c r="Q253"/>
  <c r="Q255" s="1"/>
  <c r="D251"/>
  <c r="E39" i="24" s="1"/>
  <c r="U253" i="46"/>
  <c r="U255" s="1"/>
  <c r="O253"/>
  <c r="D250"/>
  <c r="E38" i="24" s="1"/>
  <c r="L253" i="46"/>
  <c r="L255" s="1"/>
  <c r="P253"/>
  <c r="P255" s="1"/>
  <c r="K253"/>
  <c r="K255" s="1"/>
  <c r="D246"/>
  <c r="E34" i="24" s="1"/>
  <c r="G253" i="46"/>
  <c r="G255" s="1"/>
  <c r="AC253"/>
  <c r="AC255" s="1"/>
  <c r="J253"/>
  <c r="N253"/>
  <c r="N255" s="1"/>
  <c r="AB253"/>
  <c r="AB255" s="1"/>
  <c r="T253"/>
  <c r="T255" s="1"/>
  <c r="AA253"/>
  <c r="AA255" s="1"/>
  <c r="H253"/>
  <c r="H255" l="1"/>
  <c r="B58" i="24"/>
  <c r="D254" i="47"/>
  <c r="B43" i="24" s="1"/>
  <c r="D239" i="46"/>
  <c r="E27" i="24" s="1"/>
  <c r="E28"/>
  <c r="J255" i="46"/>
  <c r="O255"/>
  <c r="D245"/>
  <c r="E33" i="24" s="1"/>
  <c r="D256" i="46"/>
  <c r="E44" i="24" s="1"/>
  <c r="D244" i="45"/>
  <c r="D29" i="24" s="1"/>
  <c r="N247" i="45"/>
  <c r="D246"/>
  <c r="D31" i="24" s="1"/>
  <c r="AC247" i="45"/>
  <c r="K247"/>
  <c r="O247"/>
  <c r="R247"/>
  <c r="M247"/>
  <c r="F247"/>
  <c r="L247"/>
  <c r="D243"/>
  <c r="D28" i="24" s="1"/>
  <c r="X247" i="45"/>
  <c r="G247"/>
  <c r="Z247"/>
  <c r="H247"/>
  <c r="D245"/>
  <c r="D30" i="24" s="1"/>
  <c r="Y247" i="45"/>
  <c r="P247"/>
  <c r="J247"/>
  <c r="AB247"/>
  <c r="V247"/>
  <c r="T247"/>
  <c r="W247"/>
  <c r="I247"/>
  <c r="AA247"/>
  <c r="S247"/>
  <c r="U247"/>
  <c r="Q247"/>
  <c r="D251"/>
  <c r="D36" i="24" s="1"/>
  <c r="X256" i="45"/>
  <c r="D254"/>
  <c r="D39" i="24" s="1"/>
  <c r="L256" i="45"/>
  <c r="D255"/>
  <c r="D40" i="24" s="1"/>
  <c r="J256" i="45"/>
  <c r="J258" s="1"/>
  <c r="T256"/>
  <c r="S256"/>
  <c r="AB256"/>
  <c r="Y256"/>
  <c r="Y258" s="1"/>
  <c r="D250"/>
  <c r="D35" i="24" s="1"/>
  <c r="F256" i="45"/>
  <c r="F258" s="1"/>
  <c r="D252"/>
  <c r="D37" i="24" s="1"/>
  <c r="O256" i="45"/>
  <c r="O258" s="1"/>
  <c r="M256"/>
  <c r="P256"/>
  <c r="K256"/>
  <c r="K258" s="1"/>
  <c r="W256"/>
  <c r="W258" s="1"/>
  <c r="Z256"/>
  <c r="AC256"/>
  <c r="AC258" s="1"/>
  <c r="D253"/>
  <c r="D38" i="24" s="1"/>
  <c r="U256" i="45"/>
  <c r="U258" s="1"/>
  <c r="N256"/>
  <c r="AA256"/>
  <c r="AA258" s="1"/>
  <c r="I256"/>
  <c r="D249"/>
  <c r="G256"/>
  <c r="G258" s="1"/>
  <c r="V256"/>
  <c r="V258" s="1"/>
  <c r="H256"/>
  <c r="R256"/>
  <c r="R258" s="1"/>
  <c r="Q256"/>
  <c r="D255" i="46" l="1"/>
  <c r="E43" i="24" s="1"/>
  <c r="N258" i="45"/>
  <c r="Z258"/>
  <c r="T258"/>
  <c r="P258"/>
  <c r="S258"/>
  <c r="L258"/>
  <c r="H258"/>
  <c r="I258"/>
  <c r="AB258"/>
  <c r="D248"/>
  <c r="D33" i="24" s="1"/>
  <c r="D34"/>
  <c r="X258" i="45"/>
  <c r="Q258"/>
  <c r="M258"/>
  <c r="D242"/>
  <c r="D27" i="24" s="1"/>
  <c r="D259" i="45"/>
  <c r="D44" i="24" s="1"/>
  <c r="AC240" i="44"/>
  <c r="U240"/>
  <c r="D237"/>
  <c r="F29" i="24" s="1"/>
  <c r="M240" i="44"/>
  <c r="D239"/>
  <c r="F31" i="24" s="1"/>
  <c r="Y240" i="44"/>
  <c r="W240"/>
  <c r="AB240"/>
  <c r="J240"/>
  <c r="T240"/>
  <c r="N240"/>
  <c r="Z240"/>
  <c r="R240"/>
  <c r="H240"/>
  <c r="L240"/>
  <c r="AA240"/>
  <c r="I240"/>
  <c r="D236"/>
  <c r="Q240"/>
  <c r="F240"/>
  <c r="V240"/>
  <c r="S240"/>
  <c r="G240"/>
  <c r="D238"/>
  <c r="F30" i="24" s="1"/>
  <c r="X240" i="44"/>
  <c r="P240"/>
  <c r="K240"/>
  <c r="O240"/>
  <c r="D243"/>
  <c r="F35" i="24" s="1"/>
  <c r="F249" i="44"/>
  <c r="D248"/>
  <c r="F40" i="24" s="1"/>
  <c r="D244" i="44"/>
  <c r="F36" i="24" s="1"/>
  <c r="K249" i="44"/>
  <c r="T249"/>
  <c r="T251" s="1"/>
  <c r="Q249"/>
  <c r="Q251" s="1"/>
  <c r="D245"/>
  <c r="F37" i="24" s="1"/>
  <c r="U249" i="44"/>
  <c r="U251" s="1"/>
  <c r="G249"/>
  <c r="D242"/>
  <c r="F34" i="24" s="1"/>
  <c r="N249" i="44"/>
  <c r="W249"/>
  <c r="D246"/>
  <c r="F38" i="24" s="1"/>
  <c r="P249" i="44"/>
  <c r="P251" s="1"/>
  <c r="M249"/>
  <c r="I249"/>
  <c r="J249"/>
  <c r="S249"/>
  <c r="S251" s="1"/>
  <c r="H249"/>
  <c r="H251" s="1"/>
  <c r="AA249"/>
  <c r="L249"/>
  <c r="X249"/>
  <c r="V249"/>
  <c r="AC249"/>
  <c r="R249"/>
  <c r="Z249"/>
  <c r="O249"/>
  <c r="Y249"/>
  <c r="Y251" s="1"/>
  <c r="D247"/>
  <c r="F39" i="24" s="1"/>
  <c r="AB249" i="44"/>
  <c r="AB251" s="1"/>
  <c r="D258" i="45" l="1"/>
  <c r="D43" i="24" s="1"/>
  <c r="Z251" i="44"/>
  <c r="X251"/>
  <c r="V251"/>
  <c r="N251"/>
  <c r="W251"/>
  <c r="K251"/>
  <c r="L251"/>
  <c r="G251"/>
  <c r="D235"/>
  <c r="F27" i="24" s="1"/>
  <c r="F28"/>
  <c r="O251" i="44"/>
  <c r="M251"/>
  <c r="AC251"/>
  <c r="AA251"/>
  <c r="I251"/>
  <c r="F251"/>
  <c r="R251"/>
  <c r="J251"/>
  <c r="D241"/>
  <c r="F33" i="24" s="1"/>
  <c r="D252" i="44"/>
  <c r="F44" i="24" s="1"/>
  <c r="D251" i="44" l="1"/>
  <c r="F43" i="24" s="1"/>
</calcChain>
</file>

<file path=xl/sharedStrings.xml><?xml version="1.0" encoding="utf-8"?>
<sst xmlns="http://schemas.openxmlformats.org/spreadsheetml/2006/main" count="3461" uniqueCount="637">
  <si>
    <t>Benefits</t>
  </si>
  <si>
    <t>Costs</t>
  </si>
  <si>
    <t>Reduced emissions (GHG and criteria)</t>
  </si>
  <si>
    <t>capital (bikes and stations)</t>
  </si>
  <si>
    <t>increase transit use</t>
  </si>
  <si>
    <t>fuel savings</t>
  </si>
  <si>
    <t>public health improvement</t>
  </si>
  <si>
    <t>reduced household cost</t>
  </si>
  <si>
    <t>increase traffic safety for cyclists b/c of critical mass</t>
  </si>
  <si>
    <t>increased access</t>
  </si>
  <si>
    <t>Metrorail core relief</t>
  </si>
  <si>
    <t>congestion relief</t>
  </si>
  <si>
    <t xml:space="preserve">Percent of those bicycling or walking who do not meet activity recommendations </t>
  </si>
  <si>
    <t xml:space="preserve">Health care savings of one minute increase of daily population average physical activity ($/minute) </t>
  </si>
  <si>
    <t xml:space="preserve"> Motor Gasoline Price (1987 $ per million Btu)</t>
  </si>
  <si>
    <t>% increase</t>
  </si>
  <si>
    <t>$ increase</t>
  </si>
  <si>
    <t>Forecast Price</t>
  </si>
  <si>
    <t xml:space="preserve">Year 1 </t>
  </si>
  <si>
    <t xml:space="preserve">Year 2 </t>
  </si>
  <si>
    <t>Year 3</t>
  </si>
  <si>
    <t>Year 4</t>
  </si>
  <si>
    <t>Year 5</t>
  </si>
  <si>
    <t>Year 6</t>
  </si>
  <si>
    <t>Year 7</t>
  </si>
  <si>
    <t>Year 8</t>
  </si>
  <si>
    <t>Year 9</t>
  </si>
  <si>
    <t>Year 10</t>
  </si>
  <si>
    <t>Year 11</t>
  </si>
  <si>
    <t>Year 12</t>
  </si>
  <si>
    <t>Year 13</t>
  </si>
  <si>
    <t>Year 14</t>
  </si>
  <si>
    <t>Year 15</t>
  </si>
  <si>
    <t>Year 16</t>
  </si>
  <si>
    <t>Year 17</t>
  </si>
  <si>
    <t>Year 18</t>
  </si>
  <si>
    <t>Year 19</t>
  </si>
  <si>
    <t>FUEL PRICES</t>
  </si>
  <si>
    <t>FUEL ECONOMY</t>
  </si>
  <si>
    <t>ACCIDENT COSTS</t>
  </si>
  <si>
    <t>FAT</t>
  </si>
  <si>
    <t>INJ</t>
  </si>
  <si>
    <t>Emission rate</t>
  </si>
  <si>
    <t xml:space="preserve">VOC </t>
  </si>
  <si>
    <t>Category</t>
  </si>
  <si>
    <t>Median</t>
  </si>
  <si>
    <t>Lower</t>
  </si>
  <si>
    <t>Upper</t>
  </si>
  <si>
    <t>In Year</t>
  </si>
  <si>
    <t>Source</t>
  </si>
  <si>
    <t>Value of Time (per bus rider)</t>
  </si>
  <si>
    <t>VOCCost</t>
  </si>
  <si>
    <t>NOXCost</t>
  </si>
  <si>
    <t>PM25Cost</t>
  </si>
  <si>
    <t>CO2Cost</t>
  </si>
  <si>
    <t>Value of Time for Low Income People</t>
  </si>
  <si>
    <t>60% of Auto Time Value</t>
  </si>
  <si>
    <t>Avg. Parking Cost, $ per day</t>
  </si>
  <si>
    <t>NHTSA</t>
  </si>
  <si>
    <t>daily ridership</t>
  </si>
  <si>
    <t>Source:</t>
  </si>
  <si>
    <t>Analysis Of Potential Transportation Emissions Reductions Measures (TERMs) Under Consideration For The Conformity Of The 2009 CLRP &amp; FY 2010-2015 TIP; June 5, 2009</t>
  </si>
  <si>
    <t xml:space="preserve">Ozone NOx </t>
  </si>
  <si>
    <t xml:space="preserve">Cold Start </t>
  </si>
  <si>
    <t>Cold Start (g/trip)</t>
  </si>
  <si>
    <t xml:space="preserve">Running </t>
  </si>
  <si>
    <t>Running (g/m)</t>
  </si>
  <si>
    <t xml:space="preserve">Cold start </t>
  </si>
  <si>
    <t>Hotsoak (g/trip)</t>
  </si>
  <si>
    <t xml:space="preserve">PM2.5 </t>
  </si>
  <si>
    <t xml:space="preserve">PM2.5 NOx Precursor </t>
  </si>
  <si>
    <t>Running</t>
  </si>
  <si>
    <t>"Regional average emissions factors corresponding to average speed have been used for the emissions estimation. For the Washington DC region, 40 mph average speed is used for commute category TERM running emissions rate while 41 mph speed is considered for traffic stream TERMs."</t>
  </si>
  <si>
    <r>
      <t>CO</t>
    </r>
    <r>
      <rPr>
        <b/>
        <vertAlign val="subscript"/>
        <sz val="10"/>
        <color indexed="10"/>
        <rFont val="Arial"/>
        <family val="2"/>
      </rPr>
      <t>2</t>
    </r>
    <r>
      <rPr>
        <b/>
        <sz val="10"/>
        <color indexed="10"/>
        <rFont val="Arial"/>
        <family val="2"/>
      </rPr>
      <t xml:space="preserve"> </t>
    </r>
  </si>
  <si>
    <t>The Case for Increased Federal Investment in Bicycling and Walking--Rails to Trails 2008</t>
  </si>
  <si>
    <t>WMATA</t>
  </si>
  <si>
    <t>Auto Operating Cost, total, per mile</t>
  </si>
  <si>
    <t xml:space="preserve">Yearly membership cost </t>
  </si>
  <si>
    <t>Day pass cost</t>
  </si>
  <si>
    <t>Capital cost</t>
  </si>
  <si>
    <t>Memberships (10 members per bike)</t>
  </si>
  <si>
    <t>operations (includes maintenance and theft/vandalism rate of 8%)</t>
  </si>
  <si>
    <t>COSTS</t>
  </si>
  <si>
    <t>Total yearly ridership</t>
  </si>
  <si>
    <t>Bike hours traveled, per trip</t>
  </si>
  <si>
    <t># of trips, per day</t>
  </si>
  <si>
    <t>BMT, per day</t>
  </si>
  <si>
    <t>BENEFITS</t>
  </si>
  <si>
    <t>ENVIRONMENTAL BENEFITS</t>
  </si>
  <si>
    <t>Average bike trip length, miles</t>
  </si>
  <si>
    <t>Total user cost per mile, avg member/day pass</t>
  </si>
  <si>
    <t>PUBLIC HEALTH BENEFITS</t>
  </si>
  <si>
    <t xml:space="preserve">% bicycle riders as new transit riders </t>
  </si>
  <si>
    <t>Bus/rail trips reduced per day</t>
  </si>
  <si>
    <t>INCREASED ACCESS BENEFITS</t>
  </si>
  <si>
    <t>Trips shifted from auto</t>
  </si>
  <si>
    <t>Trips shifted from transit</t>
  </si>
  <si>
    <t>VOC, Tons of pollutants per day</t>
  </si>
  <si>
    <t>NOX, Tons of pollutants per day</t>
  </si>
  <si>
    <t>PM, Tons of pollutants per day</t>
  </si>
  <si>
    <t>CO2, Tons of pollutants per day</t>
  </si>
  <si>
    <t xml:space="preserve">% of trips not made before </t>
  </si>
  <si>
    <t>% of riders shifted from walk to bike</t>
  </si>
  <si>
    <t>Average walk speed, mph</t>
  </si>
  <si>
    <t>Average biking speed, mph</t>
  </si>
  <si>
    <t>Walk hours traveled, per trip</t>
  </si>
  <si>
    <t>Average auto speed, mph</t>
  </si>
  <si>
    <t>Average transit speed, mph</t>
  </si>
  <si>
    <t># of riders per bike per day</t>
  </si>
  <si>
    <t>Time cost average, per trip</t>
  </si>
  <si>
    <t>User cost average, per trip</t>
  </si>
  <si>
    <t>Average cost per mile</t>
  </si>
  <si>
    <t xml:space="preserve">WALK  </t>
  </si>
  <si>
    <t xml:space="preserve">TRANSIT  </t>
  </si>
  <si>
    <t>Average fuel economy for region, light-duty mpg</t>
  </si>
  <si>
    <t>Emission reductions, $/day</t>
  </si>
  <si>
    <t>Cost per ton</t>
  </si>
  <si>
    <r>
      <t>PM</t>
    </r>
    <r>
      <rPr>
        <vertAlign val="subscript"/>
        <sz val="9"/>
        <rFont val="Arial"/>
        <family val="2"/>
      </rPr>
      <t>2.5</t>
    </r>
  </si>
  <si>
    <r>
      <t>CO</t>
    </r>
    <r>
      <rPr>
        <vertAlign val="subscript"/>
        <sz val="9"/>
        <rFont val="Arial"/>
        <family val="2"/>
      </rPr>
      <t>2</t>
    </r>
  </si>
  <si>
    <r>
      <t>NO</t>
    </r>
    <r>
      <rPr>
        <vertAlign val="subscript"/>
        <sz val="9"/>
        <rFont val="Arial"/>
        <family val="2"/>
      </rPr>
      <t>X</t>
    </r>
  </si>
  <si>
    <t>Value of Time (bike/ped)</t>
  </si>
  <si>
    <t>Congestion cost from additional automobile, per VMT</t>
  </si>
  <si>
    <t>Accident cost from additional automobile, per VMT</t>
  </si>
  <si>
    <t>Year 20</t>
  </si>
  <si>
    <t xml:space="preserve">
North America CBD Parking Rate Survey-2009; Colliers International</t>
  </si>
  <si>
    <t>Walk</t>
  </si>
  <si>
    <t>Car/Motorcycle</t>
  </si>
  <si>
    <t>Taxi</t>
  </si>
  <si>
    <t>HDR</t>
  </si>
  <si>
    <t>Value of time, $/hour</t>
  </si>
  <si>
    <t>Value of time, auto driver, $/hour</t>
  </si>
  <si>
    <t>TRAVEL TIME COST/SAVINGS</t>
  </si>
  <si>
    <t>Percent of those bicycling who do not meet activity recommendations</t>
  </si>
  <si>
    <t>Time cost average, per 1.5 mile trip</t>
  </si>
  <si>
    <t xml:space="preserve">Average replaced auto trip length (same as average bike trip), miles </t>
  </si>
  <si>
    <t xml:space="preserve">Average transit trip length replaced, miles </t>
  </si>
  <si>
    <t>Percent of transit trips, bus</t>
  </si>
  <si>
    <t>Percent of transit trips, rail</t>
  </si>
  <si>
    <t>Average rail speed, mph</t>
  </si>
  <si>
    <t>Average bus speed, mph</t>
  </si>
  <si>
    <t>2007 CLRP, travel demand model output</t>
  </si>
  <si>
    <t>WMATA; Includes smartrip discount: http://www.wmata.com/about_metro/news/PressReleaseDetail.cfm?ReleaseID=2555</t>
  </si>
  <si>
    <t>Avg Metrorail fare, 1.5 mile trip</t>
  </si>
  <si>
    <t>% of riders shifted from taxi to bike</t>
  </si>
  <si>
    <t>% of riders shifted from personal bike to bike share</t>
  </si>
  <si>
    <t>VMT reduced per day (auto+taxi)</t>
  </si>
  <si>
    <t>% of riders shifted from auto to bike</t>
  </si>
  <si>
    <t>% of riders shifted from bus/rail to bike</t>
  </si>
  <si>
    <t>Trips shifted from personal bike</t>
  </si>
  <si>
    <t>USER COST/SAVINGS</t>
  </si>
  <si>
    <t>Avg. Fare - Taxi (DC, 1.5 mile trip), $</t>
  </si>
  <si>
    <t>Metrobus fare</t>
  </si>
  <si>
    <t>Trips not taken before</t>
  </si>
  <si>
    <t>Value of time, auto passenger, $/hour</t>
  </si>
  <si>
    <t xml:space="preserve">Average bus trip length replaced, miles </t>
  </si>
  <si>
    <t>Total</t>
  </si>
  <si>
    <t>http://ostpxweb.dot.gov/policy/Data/VOTrevision1_2-11-03.pdf</t>
  </si>
  <si>
    <t>Original Year</t>
  </si>
  <si>
    <t>Original Value</t>
  </si>
  <si>
    <t>Value of Time (waiting, walk access, etc)</t>
  </si>
  <si>
    <t>http://ostpxweb.dot.gov/policy/Data/VOTrevision1_2-11-03.pdf + HDR</t>
  </si>
  <si>
    <t>Value of waiting time, $/hour</t>
  </si>
  <si>
    <t>Peak period, hours per day</t>
  </si>
  <si>
    <t>Accident cost, per person affected</t>
  </si>
  <si>
    <t>Minor</t>
  </si>
  <si>
    <t>Moderate</t>
  </si>
  <si>
    <t>Serious</t>
  </si>
  <si>
    <t>Severe</t>
  </si>
  <si>
    <t>Critical</t>
  </si>
  <si>
    <t>% peak period trips, assumed</t>
  </si>
  <si>
    <t>Value of time, $/hour, no waiting included</t>
  </si>
  <si>
    <t>% of riders using transit also</t>
  </si>
  <si>
    <t>% of riders with increased access to transit</t>
  </si>
  <si>
    <t>Population with increased access to rail transit</t>
  </si>
  <si>
    <t>Employment with increased access to rail transit</t>
  </si>
  <si>
    <t>Pop with bike-sharing, access to rail transit</t>
  </si>
  <si>
    <t>Emp with bike-sharing, access to rail transit</t>
  </si>
  <si>
    <t>% of new transit trips coming from auto</t>
  </si>
  <si>
    <t>Average transit trip length, local route, WMATA</t>
  </si>
  <si>
    <t>Health care cost increase for people completing 30 minutes of daily exercise vs those that don't ($/day)</t>
  </si>
  <si>
    <t>Discounted 3%</t>
  </si>
  <si>
    <t>Discounted 7%</t>
  </si>
  <si>
    <t>Discount rate, 3%</t>
  </si>
  <si>
    <t>Discount rate, 7%</t>
  </si>
  <si>
    <t>Net Present Value</t>
  </si>
  <si>
    <t>Rate of Return</t>
  </si>
  <si>
    <t>Benefit-Cost Ratio</t>
  </si>
  <si>
    <t>IRR</t>
  </si>
  <si>
    <t>Average trip length, miles</t>
  </si>
  <si>
    <t>Based on average bike trip length</t>
  </si>
  <si>
    <t>Status Report on the Bus Systems in the National Capital Region: http://www.mwcog.org/store/item.asp?PUBLICATION_ID=328</t>
  </si>
  <si>
    <t>WMATA Metro Facts: http://www.wmata.com/about_metro/docs/metrofacts.pdf</t>
  </si>
  <si>
    <t>WMATA PCN Presentation: http://www.wmata.com/about_metro/riders_advisory_council/minutes/docs/Bus%20Priority%20Corridor%20Network%20Presentation.pdf</t>
  </si>
  <si>
    <t>Fatality</t>
  </si>
  <si>
    <t>NHTSA, TIGER Guidance</t>
  </si>
  <si>
    <t>District of Columbia Taxicab Commission--based on per mile fares</t>
  </si>
  <si>
    <t>The Case for Increased Federal Investment in Bicycling and Walking; Rails to Trails 2008</t>
  </si>
  <si>
    <t xml:space="preserve">The Case for Increased Federal Investment in Bicycling and Walking; Rails to Trails 2008  </t>
  </si>
  <si>
    <t># of bikes, total</t>
  </si>
  <si>
    <t>Capital</t>
  </si>
  <si>
    <t>Operating</t>
  </si>
  <si>
    <t>Accident</t>
  </si>
  <si>
    <t>Increased Access</t>
  </si>
  <si>
    <t>Congestion Reduction</t>
  </si>
  <si>
    <t>Emissions Reduction</t>
  </si>
  <si>
    <t>Accident Reduction</t>
  </si>
  <si>
    <t>New System Only</t>
  </si>
  <si>
    <t>% riders, day pass</t>
  </si>
  <si>
    <t>% mode shift from SOV</t>
  </si>
  <si>
    <t>% previous transit riders (all assumed to have biked previously)</t>
  </si>
  <si>
    <t xml:space="preserve">Average replaced auto trip length (same as average transit trip), miles </t>
  </si>
  <si>
    <t>Metrorail fare, per trip, peak</t>
  </si>
  <si>
    <t>Metrorail fare, per trip, off peak</t>
  </si>
  <si>
    <t>Avg Metrorail fare, 6.5 mile trip</t>
  </si>
  <si>
    <t>Value of Time (local auto)</t>
  </si>
  <si>
    <t>Value of Time (intercity auto)</t>
  </si>
  <si>
    <t xml:space="preserve">Transit hours traveled, per trip + 5 minute waiting </t>
  </si>
  <si>
    <t>Vehicle hours traveled, per trip + 5 minute parking penalty</t>
  </si>
  <si>
    <t>Vehicle hours traveled, per trip + 5 minute parking/out-of-vehicle penalty</t>
  </si>
  <si>
    <t>% new bike-to-transit riders</t>
  </si>
  <si>
    <t>Day pass riders (84 per bike)</t>
  </si>
  <si>
    <t>Project Costs</t>
  </si>
  <si>
    <t>Users</t>
  </si>
  <si>
    <t>Arrival Mode for Rail Boarding / Entry</t>
  </si>
  <si>
    <t>Bus</t>
  </si>
  <si>
    <t>Bicycle</t>
  </si>
  <si>
    <t xml:space="preserve">Departing Mode for Rail Alighting / Exiting </t>
  </si>
  <si>
    <t>Other Users</t>
  </si>
  <si>
    <t>Pedestrian</t>
  </si>
  <si>
    <t>Other (Taxi, Motorcycle, etc.)</t>
  </si>
  <si>
    <t>Car - Park</t>
  </si>
  <si>
    <t>Car - Drop-off</t>
  </si>
  <si>
    <t>Basis</t>
  </si>
  <si>
    <t>Non-Users</t>
  </si>
  <si>
    <t>Base Case</t>
  </si>
  <si>
    <t>TIGER</t>
  </si>
  <si>
    <t>Special information</t>
  </si>
  <si>
    <t>Access improvements that benefit pedestrians, including sidewalks, road crossings, pedestrian underpass</t>
  </si>
  <si>
    <t>Metrorail boardings and alighting mode shares, other pedestrian surveys, land use density</t>
  </si>
  <si>
    <t xml:space="preserve">Bicyclists make use of the same features as pedestrians, as well as bike-sharing. </t>
  </si>
  <si>
    <t>Metrorail boardings and alighting mode shares, other bicyclist surveys, land use density</t>
  </si>
  <si>
    <t>Current surveys and predicted growth rates</t>
  </si>
  <si>
    <t xml:space="preserve">Predicted users based on infrastructure funded through TIGER grant and complementary projects. </t>
  </si>
  <si>
    <t>Based on improvements funded by project.</t>
  </si>
  <si>
    <t>Current and predicted (annual growth rate) users based on current infrastructure</t>
  </si>
  <si>
    <t>Year 21</t>
  </si>
  <si>
    <t>Year 22</t>
  </si>
  <si>
    <t>Year 23</t>
  </si>
  <si>
    <t>Year 24</t>
  </si>
  <si>
    <t>Annual MetroRail Ridership, August of 2010 to July 2011</t>
  </si>
  <si>
    <t>Forest Glen</t>
  </si>
  <si>
    <t>Mezzanine</t>
  </si>
  <si>
    <t>Peak 0.5 Hr Ent</t>
  </si>
  <si>
    <t>Peak 0.5 Hr Ext</t>
  </si>
  <si>
    <t>Peak 1 Hr Ent</t>
  </si>
  <si>
    <t>Peak 1 Hr Ext</t>
  </si>
  <si>
    <t>Daily Ent</t>
  </si>
  <si>
    <t>Daily Ext</t>
  </si>
  <si>
    <t>Flow Summary_Mezzanine Level</t>
  </si>
  <si>
    <t>Growth Summary_Mezzanine Level</t>
  </si>
  <si>
    <t>Flow Summary_System Level AM</t>
  </si>
  <si>
    <t>Growth Summary_System Level PM</t>
  </si>
  <si>
    <t>Flow Summary_System Level PM</t>
  </si>
  <si>
    <t>Growth Summary_System Level AM</t>
  </si>
  <si>
    <t>2005 to 2010</t>
  </si>
  <si>
    <t>2010 to 2020</t>
  </si>
  <si>
    <t>2020 to 2030</t>
  </si>
  <si>
    <t>Daily users (Entry + Exit)</t>
  </si>
  <si>
    <t>WMATA STATION ACCESS &amp; CAPACITY STUDY</t>
  </si>
  <si>
    <t>Appendix B-E: Summary of Ridership Forecasts</t>
  </si>
  <si>
    <t>Annualised</t>
  </si>
  <si>
    <t xml:space="preserve"> FOREST GLEN</t>
  </si>
  <si>
    <t xml:space="preserve">Total </t>
  </si>
  <si>
    <t>ALEXANDRIA DASH</t>
  </si>
  <si>
    <t>AMTRAK, MARC OR VRE</t>
  </si>
  <si>
    <t>ARLINGTON TRANSIT (ART)</t>
  </si>
  <si>
    <t xml:space="preserve">Dropped off </t>
  </si>
  <si>
    <t>BICYCLE</t>
  </si>
  <si>
    <t>DC CIRCULATOR</t>
  </si>
  <si>
    <t>DRIVE A CAR</t>
  </si>
  <si>
    <t>FAIRFAX CITY CUE</t>
  </si>
  <si>
    <t>FAIRFAX CONNECTOR</t>
  </si>
  <si>
    <t>METROBUS</t>
  </si>
  <si>
    <t>MONTGOMERY RIDE ON</t>
  </si>
  <si>
    <t xml:space="preserve">OTHER BUS </t>
  </si>
  <si>
    <t>PRINCE GEORGE'S THE BUS</t>
  </si>
  <si>
    <t>RIDE WITH SOMEONE WHO PARKED</t>
  </si>
  <si>
    <t>TAXI</t>
  </si>
  <si>
    <t>WALK</t>
  </si>
  <si>
    <t>Metrorail Mode of Access Study 2007 (All Day Access Absolute)</t>
  </si>
  <si>
    <t>Station Name</t>
  </si>
  <si>
    <t>User Data</t>
  </si>
  <si>
    <t xml:space="preserve">Current </t>
  </si>
  <si>
    <t>Annual Growth / Future Year</t>
  </si>
  <si>
    <t>TIGER Changes</t>
  </si>
  <si>
    <t>Results are for VRE riders based on 2010 customer survey</t>
  </si>
  <si>
    <t>Broad Run</t>
  </si>
  <si>
    <t>Rippon</t>
  </si>
  <si>
    <t>Woodbridge</t>
  </si>
  <si>
    <t>Rolling Rd</t>
  </si>
  <si>
    <t>Lorton</t>
  </si>
  <si>
    <t>Franconia-Springfield</t>
  </si>
  <si>
    <t>Manassas</t>
  </si>
  <si>
    <t>Manassas Park</t>
  </si>
  <si>
    <t>All Stations</t>
  </si>
  <si>
    <t>Other</t>
  </si>
  <si>
    <t>All stations</t>
  </si>
  <si>
    <t>BR</t>
  </si>
  <si>
    <t>RIP</t>
  </si>
  <si>
    <t>WOOD</t>
  </si>
  <si>
    <t>ROLL</t>
  </si>
  <si>
    <t>LOR</t>
  </si>
  <si>
    <t>F-S</t>
  </si>
  <si>
    <t>MAN</t>
  </si>
  <si>
    <t>MP</t>
  </si>
  <si>
    <t>Metrorail</t>
  </si>
  <si>
    <t>N/A</t>
  </si>
  <si>
    <t>Purpose of Trip</t>
  </si>
  <si>
    <t xml:space="preserve">Work </t>
  </si>
  <si>
    <t>Rail Boarding / Entry</t>
  </si>
  <si>
    <t xml:space="preserve">Rail Alighting / Exiting </t>
  </si>
  <si>
    <t>Not available</t>
  </si>
  <si>
    <t>HH Income</t>
  </si>
  <si>
    <t>&lt;$25,000</t>
  </si>
  <si>
    <t>$25,000-50,000</t>
  </si>
  <si>
    <t>$50,000-75,000</t>
  </si>
  <si>
    <t>$75,000-100,000</t>
  </si>
  <si>
    <t>$100,000-125,000</t>
  </si>
  <si>
    <t>$125,000-150,000</t>
  </si>
  <si>
    <t>$150,000-175,000</t>
  </si>
  <si>
    <t>&gt;$175,000</t>
  </si>
  <si>
    <t>No response</t>
  </si>
  <si>
    <t>FACILITY</t>
  </si>
  <si>
    <t>LOCATION</t>
  </si>
  <si>
    <t>LINK</t>
  </si>
  <si>
    <t>2011 VOLUME</t>
  </si>
  <si>
    <t>2030 VOLUME</t>
  </si>
  <si>
    <t>2040 VOLUME</t>
  </si>
  <si>
    <t>Army Navy Dr.</t>
  </si>
  <si>
    <t>east of Ridge Rd.</t>
  </si>
  <si>
    <t>5207-5237</t>
  </si>
  <si>
    <t>west of Eads Rd.</t>
  </si>
  <si>
    <t>5255-5264</t>
  </si>
  <si>
    <t>Ager Rd.</t>
  </si>
  <si>
    <t>south of EastWest Hwy.</t>
  </si>
  <si>
    <t>4028-4199</t>
  </si>
  <si>
    <t>north of Queens Chapel Rd.</t>
  </si>
  <si>
    <t>4027-4042</t>
  </si>
  <si>
    <t>SOURCES:</t>
  </si>
  <si>
    <t>2011: N:\model_app\CGV2_2_Conformity2011\2011_Conf\I6HWY.NET</t>
  </si>
  <si>
    <t>2030: N:\model_app\CGV2_2_Conformity2011_VDOT\2030_Conf\I6HWY.NET</t>
  </si>
  <si>
    <t>2040: N:\model_app\CGV2_2_Conformity2011_VDOT\2040_Conf\I6HWY.NET</t>
  </si>
  <si>
    <t>NOTES:  Army Navy Dr. volumes decrease in 2040 due to drop in area type on the facility.</t>
  </si>
  <si>
    <t>2010 CLRP DAILY TRAFFIC VOLUMES</t>
  </si>
  <si>
    <t>(v2.2 travel demand model, 2191 TAZ)</t>
  </si>
  <si>
    <t>2011 to 2030</t>
  </si>
  <si>
    <t>2030 to 2040</t>
  </si>
  <si>
    <t>Annualized</t>
  </si>
  <si>
    <t>Change</t>
  </si>
  <si>
    <t>LIVABILITY</t>
  </si>
  <si>
    <t>ENVIRONMENTAL SUSTAINABILITY</t>
  </si>
  <si>
    <t>SAFETY</t>
  </si>
  <si>
    <t>ECONOMIC COMPETITIVENESS</t>
  </si>
  <si>
    <t xml:space="preserve">TOTAL </t>
  </si>
  <si>
    <t>STATE OF GOOD REPAIR</t>
  </si>
  <si>
    <t>New Construction for this project</t>
  </si>
  <si>
    <t>Current User</t>
  </si>
  <si>
    <t>PEDESTRIAN</t>
  </si>
  <si>
    <t>MOBILITY DEVICE</t>
  </si>
  <si>
    <t>ROAD</t>
  </si>
  <si>
    <t>Construction Impact</t>
  </si>
  <si>
    <t>Long-Term Impact</t>
  </si>
  <si>
    <t>Mobility Device User</t>
  </si>
  <si>
    <t>Road Traffic</t>
  </si>
  <si>
    <t>Traffic surveys, regional model, transit reidership info</t>
  </si>
  <si>
    <t>*Estimated usage based on AASHTO Pedestrian Facility Design Guide, Exhibit 3‐39, Pedestrian Use of Bridges/Tunnels Based on Convenience</t>
  </si>
  <si>
    <t>Average Signal Delay: 71s</t>
  </si>
  <si>
    <t>Average Elevator Delay: 35s (per elevator boarding)</t>
  </si>
  <si>
    <t>A pedestrian bridge would reduce total pedestrian travel time to the Metro Station (one‐way) to 73% of no‐build travel time. Based on AASHTO's</t>
  </si>
  <si>
    <t>Pedestrian Facility Design Guide, this would correspond with a 90% utilization rate.</t>
  </si>
  <si>
    <t>A pedestrian tunnel would reduce total pedestrian travel time to the Metro Station (one‐way) to 43% of no‐build travel time. Based on AASHTO's</t>
  </si>
  <si>
    <t>Pedestrian Facility Design Guide, this would correspond with a 100% utilization rate.</t>
  </si>
  <si>
    <t>Tbridge/ Tground =0.73</t>
  </si>
  <si>
    <t>SE to SW Metro At‐Grade</t>
  </si>
  <si>
    <t xml:space="preserve">No‐Build </t>
  </si>
  <si>
    <t xml:space="preserve">SE to SW Metro via Bridge </t>
  </si>
  <si>
    <t xml:space="preserve">Bridge </t>
  </si>
  <si>
    <t>SE to SW Metro via Tunnel</t>
  </si>
  <si>
    <t xml:space="preserve">Tunnel </t>
  </si>
  <si>
    <t>Estimated Usage*</t>
  </si>
  <si>
    <t xml:space="preserve">Total Time (s) </t>
  </si>
  <si>
    <t xml:space="preserve"> Additional Time (s) </t>
  </si>
  <si>
    <t>Walk Time (s) @ 4.5 fps</t>
  </si>
  <si>
    <t xml:space="preserve">Movement </t>
  </si>
  <si>
    <t xml:space="preserve">Distances (LF) </t>
  </si>
  <si>
    <t>Ttunnel/ Tground =0.43</t>
  </si>
  <si>
    <t>Forest Glen Metro Station Pedestrian Access</t>
  </si>
  <si>
    <t>Bridge and Tunnel Alternative Delay Evaluation</t>
  </si>
  <si>
    <t>Factor</t>
  </si>
  <si>
    <t>Travel time savings (seconds)</t>
  </si>
  <si>
    <t>Value of time, auto, $/hour</t>
  </si>
  <si>
    <t>Value of time, transit, $/hour</t>
  </si>
  <si>
    <t>Transit costs, $/day</t>
  </si>
  <si>
    <t>travel time, auto</t>
  </si>
  <si>
    <t>Construction</t>
  </si>
  <si>
    <t>O &amp; M</t>
  </si>
  <si>
    <t>USERS and NON-USERS</t>
  </si>
  <si>
    <t>Mode Access Surveys</t>
  </si>
  <si>
    <t>Pedestrian Volumes</t>
  </si>
  <si>
    <t>Weekday Volume</t>
  </si>
  <si>
    <t>Percent using tunnel</t>
  </si>
  <si>
    <t>Effective weekdays per year</t>
  </si>
  <si>
    <t>New User (mode shift)</t>
  </si>
  <si>
    <t>BIKESHARE</t>
  </si>
  <si>
    <t>Bicycle costs, $/day</t>
  </si>
  <si>
    <t>New User</t>
  </si>
  <si>
    <t>Time cost/savings, auto to transit+ped, hours/day</t>
  </si>
  <si>
    <t>Time cost/savings, no trip taken to transit+ped, hours/day</t>
  </si>
  <si>
    <t>Trips not taken before (none to transit+ped)</t>
  </si>
  <si>
    <t>Value of time, ped, $/hour</t>
  </si>
  <si>
    <t>travel time, transit</t>
  </si>
  <si>
    <t>travel time, ped</t>
  </si>
  <si>
    <t xml:space="preserve">For Forest Glen project accessing Holy Cross Hospital.  Negligible number for other proposed projects. </t>
  </si>
  <si>
    <t xml:space="preserve">Vehicles affected by improvements, including new or improved crossings and medians, changes in traffic signals and turning movements. Includes automobiles, trucks, buses, and all others. </t>
  </si>
  <si>
    <t xml:space="preserve">New User </t>
  </si>
  <si>
    <t>Mode shift (auto to transit+ped)</t>
  </si>
  <si>
    <t>Mode shift (auto to transit+bike)</t>
  </si>
  <si>
    <t>Trips not taken before (none to transit+bike)</t>
  </si>
  <si>
    <t>Travel time savings (hour)</t>
  </si>
  <si>
    <t>Total time cost/savings</t>
  </si>
  <si>
    <t>Total user cost/savings</t>
  </si>
  <si>
    <t>Trip shifted from auto to transit+ped</t>
  </si>
  <si>
    <t>Value of time, mob device, $/hour</t>
  </si>
  <si>
    <t>Trip shifted from auto to transit+bike</t>
  </si>
  <si>
    <t>Mode shift (auto to transit+mob device)</t>
  </si>
  <si>
    <t>Trips not taken before (none to transit+mob device)</t>
  </si>
  <si>
    <t>TRAVEL IMPACTS</t>
  </si>
  <si>
    <t>Trips shifted from walking</t>
  </si>
  <si>
    <t>Value of time, bike, $/hour</t>
  </si>
  <si>
    <t>travel time, bike</t>
  </si>
  <si>
    <t>Time cost/savings, auto to transit+bike, hours/day</t>
  </si>
  <si>
    <t>User cost/savings, auto to transit+bike, $/day</t>
  </si>
  <si>
    <t>Trips shifted from auto to transit+bikeshare</t>
  </si>
  <si>
    <t>Time cost/savings, no trip taken to transit+bike, hours/day</t>
  </si>
  <si>
    <t>User cost/savings, no trip taken to transit+bike, hours/day</t>
  </si>
  <si>
    <t>Time cost/savings, no trip taken to bikeshare, hours/day</t>
  </si>
  <si>
    <t>Auto costs, $/day</t>
  </si>
  <si>
    <t>travel time, mob device</t>
  </si>
  <si>
    <t>Time cost/savings, no trip taken to transit+mob device, hours/day</t>
  </si>
  <si>
    <t>Auto</t>
  </si>
  <si>
    <t>Personal Bike</t>
  </si>
  <si>
    <t>Mobility Device</t>
  </si>
  <si>
    <t>Bikesharing</t>
  </si>
  <si>
    <t># stations</t>
  </si>
  <si>
    <t>Local Trip</t>
  </si>
  <si>
    <t>Commute Trip</t>
  </si>
  <si>
    <t>Bikes</t>
  </si>
  <si>
    <t>Days</t>
  </si>
  <si>
    <t>Trips per bike per day</t>
  </si>
  <si>
    <t>ROAD NON-USER</t>
  </si>
  <si>
    <t>Operating Profit ($0.30 per trip)</t>
  </si>
  <si>
    <t>travel time, bikeshare</t>
  </si>
  <si>
    <t>Commute</t>
  </si>
  <si>
    <t>Local</t>
  </si>
  <si>
    <t>VEHICLE OPERATING COSTS</t>
  </si>
  <si>
    <t>Cost of Parking (50%)</t>
  </si>
  <si>
    <t>DR Transportation</t>
  </si>
  <si>
    <t>DR average cost per trip</t>
  </si>
  <si>
    <t>Value of time, bikeshare, $/hour</t>
  </si>
  <si>
    <t>Time cost/savings, no trip taken to transit+bikeshare, hours/day</t>
  </si>
  <si>
    <t>travel time, local auto</t>
  </si>
  <si>
    <t>travel time, commute transit</t>
  </si>
  <si>
    <t>travel time, local bikeshare</t>
  </si>
  <si>
    <t>Trips not taken before (none to transit+bikeshare)</t>
  </si>
  <si>
    <t>Trips shifted from none to transit+bikeshare</t>
  </si>
  <si>
    <t>Operating Cost, $ per trip</t>
  </si>
  <si>
    <t>Auto costs, $/trip</t>
  </si>
  <si>
    <t>Transit costs, $/trip</t>
  </si>
  <si>
    <t>Peronsal bicycle costs, $/trip</t>
  </si>
  <si>
    <t>Ped costs, $/trip</t>
  </si>
  <si>
    <t>Bikeshare costs, $/trip</t>
  </si>
  <si>
    <t>User cost/savings, auto to bikeshare, $/trip</t>
  </si>
  <si>
    <t>User cost/savings, transit to bikeshare, $/trip</t>
  </si>
  <si>
    <t>User cost/savings, personal bike to bikeshare, $/trip</t>
  </si>
  <si>
    <t>User cost/savings, ped to bikeshare, $/trip</t>
  </si>
  <si>
    <t>User costs/savings, no trip taken to bikeshare, $/trip</t>
  </si>
  <si>
    <t>User cost/savings, auto to transit+bikeshare, $/trip</t>
  </si>
  <si>
    <t>User cost/savings, no trip taken to transit+bikeshare, $/trip</t>
  </si>
  <si>
    <t>Auto costs/savings, $/trip</t>
  </si>
  <si>
    <t>Ped costs/savings, $/trip</t>
  </si>
  <si>
    <t>User cost/savings, auto to transit+ped, $/trip</t>
  </si>
  <si>
    <t>User cost/savings, no trip taken to transit+ped, $/trip</t>
  </si>
  <si>
    <t>Mob Device</t>
  </si>
  <si>
    <t>Average bike speed, mph</t>
  </si>
  <si>
    <t>Average mob device speed, mph</t>
  </si>
  <si>
    <t>Mob device hours traveled, per trip</t>
  </si>
  <si>
    <t>Time cost/savings, auto to transit+mob device hours/day</t>
  </si>
  <si>
    <t>Mob device costs, $/trip</t>
  </si>
  <si>
    <t>User cost/savings, auto to transit+mob device, $/trip</t>
  </si>
  <si>
    <t>User cost/savings, no trip taken to transit+mob device, $/trip</t>
  </si>
  <si>
    <t>Consumer Surplus</t>
  </si>
  <si>
    <t>Transit User Cost for Mobility Device Users, per trip</t>
  </si>
  <si>
    <t>Vehicle hours traveled, per trip + 15 minute schedule time</t>
  </si>
  <si>
    <t>Total Accessibility Benefits</t>
  </si>
  <si>
    <t>Pedestrian Accident Rate (Annual)</t>
  </si>
  <si>
    <t>Rail transit trips change</t>
  </si>
  <si>
    <t xml:space="preserve">Bus transit trips change </t>
  </si>
  <si>
    <t xml:space="preserve">Auto VT reduced </t>
  </si>
  <si>
    <t xml:space="preserve">Auto VMT reduced </t>
  </si>
  <si>
    <t>Auto fuel savings</t>
  </si>
  <si>
    <t>Trips shifted from bus</t>
  </si>
  <si>
    <t>Local (50%)</t>
  </si>
  <si>
    <t>Commute (50%)</t>
  </si>
  <si>
    <t>travel time, bus</t>
  </si>
  <si>
    <t>Time cost/savings, auto to bikeshare</t>
  </si>
  <si>
    <t>Time cost/savings, bus to bikeshare</t>
  </si>
  <si>
    <t>Time cost/savings, ped to bikeshare</t>
  </si>
  <si>
    <t>Time cost/savings, auto to transit+bikeshare</t>
  </si>
  <si>
    <t>Fuel Cost/Savings</t>
  </si>
  <si>
    <t>NET COSTS AND BENEFITS</t>
  </si>
  <si>
    <t>Health care savings for people completing 30 minutes of daily exercise vs those that do not ($/day)</t>
  </si>
  <si>
    <t>Health care savings by meeting activity requirement</t>
  </si>
  <si>
    <t>Reduced VMT</t>
  </si>
  <si>
    <t>Reduced Intersection Delay time</t>
  </si>
  <si>
    <t>CONGESTION</t>
  </si>
  <si>
    <t>Long-Term</t>
  </si>
  <si>
    <t>Cost savings per Vehicle mile not traveled</t>
  </si>
  <si>
    <t>AADT Georgia Avenue</t>
  </si>
  <si>
    <t>AADT Forest Glen Road</t>
  </si>
  <si>
    <t>New User (50% of VT reduced)</t>
  </si>
  <si>
    <t>Reduced Users</t>
  </si>
  <si>
    <t>Reduced signal delay (sec)</t>
  </si>
  <si>
    <t>Increased delay time(sec)</t>
  </si>
  <si>
    <t>Construction Impacts, $</t>
  </si>
  <si>
    <t>Total Congestion Impacts</t>
  </si>
  <si>
    <t xml:space="preserve">Bicycle Accident rate (annual crashes per daily rider) </t>
  </si>
  <si>
    <t>&amp; Bikesharing</t>
  </si>
  <si>
    <t>Total Accident Costs/Savings, $/year</t>
  </si>
  <si>
    <t>Cost of crossing under-construction intersection</t>
  </si>
  <si>
    <t>TPB Travel demand model</t>
  </si>
  <si>
    <t>Bike Lockers</t>
  </si>
  <si>
    <t>Utilization Rate</t>
  </si>
  <si>
    <t>Urban Commute Trip</t>
  </si>
  <si>
    <t>Suburban Commute Trip</t>
  </si>
  <si>
    <t xml:space="preserve">Total   </t>
  </si>
  <si>
    <t>Autombile</t>
  </si>
  <si>
    <t>Auto Accidenr rate (crash per VMT)</t>
  </si>
  <si>
    <t>PROP</t>
  </si>
  <si>
    <t>Property Damage, Automobile</t>
  </si>
  <si>
    <t>Auto crashes, 2007</t>
  </si>
  <si>
    <t>Fatalities</t>
  </si>
  <si>
    <t>Injuries</t>
  </si>
  <si>
    <t>Accident Rates, Automobile</t>
  </si>
  <si>
    <t>Accident Rates, Pedestrian</t>
  </si>
  <si>
    <t>Accident Rates, Bicycle</t>
  </si>
  <si>
    <t>Trips</t>
  </si>
  <si>
    <t>Rate/VMT</t>
  </si>
  <si>
    <t>All Ped Fatals</t>
  </si>
  <si>
    <t>All Bike Fatals</t>
  </si>
  <si>
    <t>Fatality rate</t>
  </si>
  <si>
    <t>Injury Rate</t>
  </si>
  <si>
    <t>Rate/Trip/Year</t>
  </si>
  <si>
    <t>Total Daily VMT, 2007</t>
  </si>
  <si>
    <t>Construction Impacts</t>
  </si>
  <si>
    <t xml:space="preserve">Double operating cost over affected area </t>
  </si>
  <si>
    <t>miles</t>
  </si>
  <si>
    <t>2008 HHTS</t>
  </si>
  <si>
    <t>Check</t>
  </si>
  <si>
    <t>PROJECT COSTS</t>
  </si>
  <si>
    <t>OTHER COSTS</t>
  </si>
  <si>
    <t>Comp. Grpah</t>
  </si>
  <si>
    <t>Bikeshare</t>
  </si>
  <si>
    <t>Property Damage Rate</t>
  </si>
  <si>
    <t>AADT Army-Navy Drive</t>
  </si>
  <si>
    <t>Pentagon City</t>
  </si>
  <si>
    <t xml:space="preserve"> PENTAGON CITY</t>
  </si>
  <si>
    <t>Percent using facility</t>
  </si>
  <si>
    <t>Commute (40%)</t>
  </si>
  <si>
    <t>Local (60%)</t>
  </si>
  <si>
    <t>Current User (at intersection) - Reduced Accidents</t>
  </si>
  <si>
    <t>Increased Pedestrian Accidents</t>
  </si>
  <si>
    <t>Intersection Delay time</t>
  </si>
  <si>
    <t>Annual</t>
  </si>
  <si>
    <t>Average fare per passsenger VRE</t>
  </si>
  <si>
    <t xml:space="preserve"> WEST HYATTSVILLE</t>
  </si>
  <si>
    <t>Percent using improvements</t>
  </si>
  <si>
    <t>West Hyattsville</t>
  </si>
  <si>
    <t xml:space="preserve"> NEW CARROLLTON</t>
  </si>
  <si>
    <t xml:space="preserve"> FORT TOTTEN</t>
  </si>
  <si>
    <t xml:space="preserve"> TWINBROOK</t>
  </si>
  <si>
    <t>Fort Totten</t>
  </si>
  <si>
    <t>Twinbrook</t>
  </si>
  <si>
    <t>New Carrollton</t>
  </si>
  <si>
    <t>Army Navy Drive Multimodal Access Improvement Project</t>
  </si>
  <si>
    <t>Bicycle Lockers at Virginia Railway Express (VRE) Stations</t>
  </si>
  <si>
    <t>Forest Glen Metro Access Project</t>
  </si>
  <si>
    <t xml:space="preserve"> Pedestrian Safety Measures for the New Carrollton Metro Station</t>
  </si>
  <si>
    <t>Safer Walkways to Transit: Twinbrook Metro Station</t>
  </si>
  <si>
    <r>
      <t>Fort Totten / 1</t>
    </r>
    <r>
      <rPr>
        <vertAlign val="superscript"/>
        <sz val="10"/>
        <rFont val="Calibri"/>
        <family val="2"/>
        <scheme val="minor"/>
      </rPr>
      <t>st</t>
    </r>
    <r>
      <rPr>
        <sz val="10"/>
        <rFont val="Calibri"/>
        <family val="2"/>
        <scheme val="minor"/>
      </rPr>
      <t xml:space="preserve"> Place-Galloway Road Access Improvement Project</t>
    </r>
  </si>
  <si>
    <t>Net Travel Time Savings</t>
  </si>
  <si>
    <t>Net Travel Cost Savings</t>
  </si>
  <si>
    <t>Health Benefits</t>
  </si>
  <si>
    <t>3% Discount Rate</t>
  </si>
  <si>
    <t>Auto Accident rate (crash per VMT)</t>
  </si>
  <si>
    <t>('000s of $, 3% Discount Rate for Costs and Benefits)</t>
  </si>
  <si>
    <t xml:space="preserve"> </t>
  </si>
  <si>
    <t>Vehicle - Metro Access</t>
  </si>
  <si>
    <t>Environmental</t>
  </si>
  <si>
    <t>Reduced Accidents from improvements</t>
  </si>
  <si>
    <t>New Users</t>
  </si>
  <si>
    <t>All Users</t>
  </si>
  <si>
    <t>Total user cost/savings from bikeshare</t>
  </si>
  <si>
    <t>Fuel savings from reduced VMT</t>
  </si>
  <si>
    <t>Total emissions reductions</t>
  </si>
  <si>
    <t>Total savings from reduced VMT</t>
  </si>
  <si>
    <t>Total Costs</t>
  </si>
  <si>
    <t>Total Benefits</t>
  </si>
  <si>
    <t>Net</t>
  </si>
  <si>
    <t>Benefit/Cost Ratio</t>
  </si>
  <si>
    <t>7% Discount Rate</t>
  </si>
  <si>
    <t xml:space="preserve">West Hyattsville Improvements </t>
  </si>
  <si>
    <t>('000s of $, 7% Discount Rate for Costs and Benefits)</t>
  </si>
  <si>
    <t>Normalized against Pedestrian Counts</t>
  </si>
  <si>
    <t>varies</t>
  </si>
  <si>
    <t>Increased Pedestrians Accidents - New Users</t>
  </si>
  <si>
    <t>Travel time savings (hours)</t>
  </si>
  <si>
    <t>Summary Tables by Project Component: 3% and 7% Discount Rates</t>
  </si>
  <si>
    <t>Overall Project Summary Tables: 3% and 7% Discount Rates</t>
  </si>
  <si>
    <t>Current ($2011) Dollars</t>
  </si>
  <si>
    <t xml:space="preserve">Total (2012 to 2035) </t>
  </si>
  <si>
    <t>New Trips (all Modes)</t>
  </si>
  <si>
    <t>Calculation Tables</t>
  </si>
  <si>
    <t>2020       (Year 9)</t>
  </si>
  <si>
    <t>2035      (Year 24)</t>
  </si>
  <si>
    <t>User Trips</t>
  </si>
  <si>
    <t>AUTOMOBILE (not including property damage accidents)</t>
  </si>
  <si>
    <t>SAFETY (Fatalities and Injuries)</t>
  </si>
</sst>
</file>

<file path=xl/styles.xml><?xml version="1.0" encoding="utf-8"?>
<styleSheet xmlns="http://schemas.openxmlformats.org/spreadsheetml/2006/main">
  <numFmts count="33">
    <numFmt numFmtId="6" formatCode="&quot;$&quot;#,##0_);[Red]\(&quot;$&quot;#,##0\)"/>
    <numFmt numFmtId="8" formatCode="&quot;$&quot;#,##0.00_);[Red]\(&quot;$&quot;#,##0.00\)"/>
    <numFmt numFmtId="44" formatCode="_(&quot;$&quot;* #,##0.00_);_(&quot;$&quot;* \(#,##0.00\);_(&quot;$&quot;* &quot;-&quot;??_);_(@_)"/>
    <numFmt numFmtId="43" formatCode="_(* #,##0.00_);_(* \(#,##0.00\);_(* &quot;-&quot;??_);_(@_)"/>
    <numFmt numFmtId="164" formatCode="_(* #,##0_);_(* \(#,##0\);_(* &quot;-&quot;??_);_(@_)"/>
    <numFmt numFmtId="165" formatCode="0.00_)"/>
    <numFmt numFmtId="166" formatCode="&quot;$&quot;#,##0.00"/>
    <numFmt numFmtId="167" formatCode="&quot;$&quot;#,##0.0000"/>
    <numFmt numFmtId="168" formatCode="0.0"/>
    <numFmt numFmtId="169" formatCode="0.0000"/>
    <numFmt numFmtId="170" formatCode="&quot;$&quot;#,##0"/>
    <numFmt numFmtId="171" formatCode="&quot;$&quot;#,##0.000"/>
    <numFmt numFmtId="172" formatCode="#,##0.0000"/>
    <numFmt numFmtId="173" formatCode="#,##0\ "/>
    <numFmt numFmtId="174" formatCode="_([$€-2]* #,##0.00_);_([$€-2]* \(#,##0.00\);_([$€-2]* &quot;-&quot;??_)"/>
    <numFmt numFmtId="175" formatCode="_-* #,##0\ _P_t_s_-;\-* #,##0\ _P_t_s_-;_-* &quot;-&quot;\ _P_t_s_-;_-@_-"/>
    <numFmt numFmtId="176" formatCode="_-* #,##0.00\ _P_t_s_-;\-* #,##0.00\ _P_t_s_-;_-* &quot;-&quot;??\ _P_t_s_-;_-@_-"/>
    <numFmt numFmtId="177" formatCode="_-&quot;S/.&quot;* #,##0_-;\-&quot;S/.&quot;* #,##0_-;_-&quot;S/.&quot;* &quot;-&quot;_-;_-@_-"/>
    <numFmt numFmtId="178" formatCode="_-&quot;S/.&quot;* #,##0.00_-;\-&quot;S/.&quot;* #,##0.00_-;_-&quot;S/.&quot;* &quot;-&quot;??_-;_-@_-"/>
    <numFmt numFmtId="179" formatCode="_(&quot;$&quot;* #,##0.0_);_(&quot;$&quot;* \(#,##0.0\);_(&quot;$&quot;* &quot;-&quot;??_);_(@_)"/>
    <numFmt numFmtId="180" formatCode="0.000%"/>
    <numFmt numFmtId="181" formatCode="0.0%"/>
    <numFmt numFmtId="182" formatCode="_(&quot;$&quot;* #,##0_);_(&quot;$&quot;* \(#,##0\);_(&quot;$&quot;* &quot;-&quot;??_);_(@_)"/>
    <numFmt numFmtId="183" formatCode="0.000"/>
    <numFmt numFmtId="184" formatCode="0.0_);[Red]\(0.0\)"/>
    <numFmt numFmtId="185" formatCode="0_);[Red]\(0\)"/>
    <numFmt numFmtId="186" formatCode="_(&quot;$&quot;* #,##0.000_);_(&quot;$&quot;* \(#,##0.000\);_(&quot;$&quot;* &quot;-&quot;??_);_(@_)"/>
    <numFmt numFmtId="187" formatCode="0.0000%"/>
    <numFmt numFmtId="188" formatCode="#,##0;#,##0;;"/>
    <numFmt numFmtId="189" formatCode="&quot;$&quot;#,##0.000_);[Red]\(&quot;$&quot;#,##0.000\)"/>
    <numFmt numFmtId="190" formatCode="_(&quot;$&quot;* #,##0.0_);_(&quot;$&quot;* \(#,##0.0\);_(&quot;$&quot;* &quot;-&quot;????_);_(@_)"/>
    <numFmt numFmtId="191" formatCode="0.00000"/>
    <numFmt numFmtId="192" formatCode="0.0000000"/>
  </numFmts>
  <fonts count="80">
    <font>
      <sz val="10"/>
      <name val="Arial"/>
    </font>
    <font>
      <sz val="11"/>
      <name val="Calibri"/>
      <family val="2"/>
    </font>
    <font>
      <sz val="10"/>
      <name val="Arial"/>
      <family val="2"/>
    </font>
    <font>
      <sz val="8"/>
      <name val="Arial"/>
      <family val="2"/>
    </font>
    <font>
      <u/>
      <sz val="10"/>
      <color indexed="12"/>
      <name val="Arial"/>
      <family val="2"/>
    </font>
    <font>
      <b/>
      <sz val="10"/>
      <name val="Arial"/>
      <family val="2"/>
    </font>
    <font>
      <sz val="10"/>
      <color indexed="10"/>
      <name val="Arial"/>
      <family val="2"/>
    </font>
    <font>
      <sz val="10"/>
      <name val="Arial"/>
      <family val="2"/>
    </font>
    <font>
      <sz val="11"/>
      <color indexed="8"/>
      <name val="Calibri"/>
      <family val="2"/>
    </font>
    <font>
      <sz val="11"/>
      <color indexed="9"/>
      <name val="Calibri"/>
      <family val="2"/>
    </font>
    <font>
      <sz val="11"/>
      <name val="Arial"/>
      <family val="2"/>
    </font>
    <font>
      <sz val="11"/>
      <color indexed="20"/>
      <name val="Calibri"/>
      <family val="2"/>
    </font>
    <font>
      <b/>
      <sz val="11"/>
      <color indexed="52"/>
      <name val="Calibri"/>
      <family val="2"/>
    </font>
    <font>
      <b/>
      <sz val="11"/>
      <color indexed="9"/>
      <name val="Calibri"/>
      <family val="2"/>
    </font>
    <font>
      <sz val="10"/>
      <name val="Times New Roman"/>
      <family val="1"/>
    </font>
    <font>
      <sz val="10"/>
      <name val="Helv"/>
    </font>
    <font>
      <sz val="8"/>
      <name val="Tms Rmn"/>
    </font>
    <font>
      <i/>
      <sz val="11"/>
      <color indexed="23"/>
      <name val="Calibri"/>
      <family val="2"/>
    </font>
    <font>
      <sz val="11"/>
      <color indexed="17"/>
      <name val="Calibri"/>
      <family val="2"/>
    </font>
    <font>
      <sz val="8"/>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7"/>
      <name val="Small Fonts"/>
      <family val="2"/>
    </font>
    <font>
      <b/>
      <i/>
      <sz val="16"/>
      <name val="Helv"/>
    </font>
    <font>
      <sz val="14"/>
      <name val="–¾’©"/>
      <charset val="128"/>
    </font>
    <font>
      <b/>
      <sz val="11"/>
      <color indexed="63"/>
      <name val="Calibri"/>
      <family val="2"/>
    </font>
    <font>
      <sz val="10"/>
      <name val="MS Sans Serif"/>
      <family val="2"/>
    </font>
    <font>
      <sz val="8"/>
      <name val="Times New Roman"/>
      <family val="1"/>
    </font>
    <font>
      <sz val="14"/>
      <name val="Arial"/>
      <family val="2"/>
    </font>
    <font>
      <b/>
      <sz val="9"/>
      <name val="Arial"/>
      <family val="2"/>
    </font>
    <font>
      <sz val="18"/>
      <name val="Arial"/>
      <family val="2"/>
    </font>
    <font>
      <b/>
      <sz val="18"/>
      <color indexed="56"/>
      <name val="Cambria"/>
      <family val="2"/>
    </font>
    <font>
      <b/>
      <sz val="11"/>
      <color indexed="8"/>
      <name val="Calibri"/>
      <family val="2"/>
    </font>
    <font>
      <sz val="11"/>
      <color indexed="10"/>
      <name val="Calibri"/>
      <family val="2"/>
    </font>
    <font>
      <b/>
      <sz val="8"/>
      <name val="Arial"/>
      <family val="2"/>
    </font>
    <font>
      <b/>
      <sz val="10"/>
      <color indexed="10"/>
      <name val="Arial"/>
      <family val="2"/>
    </font>
    <font>
      <sz val="10"/>
      <color indexed="60"/>
      <name val="Arial"/>
      <family val="2"/>
    </font>
    <font>
      <b/>
      <vertAlign val="subscript"/>
      <sz val="10"/>
      <color indexed="10"/>
      <name val="Arial"/>
      <family val="2"/>
    </font>
    <font>
      <b/>
      <sz val="10"/>
      <name val="Arial"/>
      <family val="2"/>
    </font>
    <font>
      <sz val="10"/>
      <name val="Arial"/>
      <family val="2"/>
    </font>
    <font>
      <sz val="10"/>
      <color indexed="55"/>
      <name val="Arial"/>
      <family val="2"/>
    </font>
    <font>
      <sz val="9"/>
      <name val="Arial"/>
      <family val="2"/>
    </font>
    <font>
      <sz val="9"/>
      <name val="Arial"/>
      <family val="2"/>
    </font>
    <font>
      <b/>
      <sz val="9"/>
      <name val="Arial"/>
      <family val="2"/>
    </font>
    <font>
      <sz val="9"/>
      <color indexed="10"/>
      <name val="Arial"/>
      <family val="2"/>
    </font>
    <font>
      <sz val="9"/>
      <name val="Times New Roman"/>
      <family val="1"/>
    </font>
    <font>
      <b/>
      <sz val="10"/>
      <color indexed="10"/>
      <name val="Arial"/>
      <family val="2"/>
    </font>
    <font>
      <vertAlign val="subscript"/>
      <sz val="9"/>
      <name val="Arial"/>
      <family val="2"/>
    </font>
    <font>
      <sz val="10"/>
      <color indexed="8"/>
      <name val="Arial"/>
      <family val="2"/>
    </font>
    <font>
      <b/>
      <sz val="9"/>
      <color indexed="10"/>
      <name val="Arial"/>
      <family val="2"/>
    </font>
    <font>
      <i/>
      <sz val="9"/>
      <name val="Arial"/>
      <family val="2"/>
    </font>
    <font>
      <b/>
      <sz val="9"/>
      <color indexed="48"/>
      <name val="Arial"/>
      <family val="2"/>
    </font>
    <font>
      <sz val="9"/>
      <color indexed="48"/>
      <name val="Arial"/>
      <family val="2"/>
    </font>
    <font>
      <sz val="9"/>
      <color indexed="17"/>
      <name val="Arial"/>
      <family val="2"/>
    </font>
    <font>
      <b/>
      <sz val="9"/>
      <color indexed="17"/>
      <name val="Arial"/>
      <family val="2"/>
    </font>
    <font>
      <i/>
      <sz val="11"/>
      <color theme="1"/>
      <name val="Calibri"/>
      <family val="2"/>
      <scheme val="minor"/>
    </font>
    <font>
      <b/>
      <u/>
      <sz val="11"/>
      <color theme="1"/>
      <name val="Calibri"/>
      <family val="2"/>
      <scheme val="minor"/>
    </font>
    <font>
      <b/>
      <sz val="10"/>
      <color indexed="8"/>
      <name val="Arial"/>
      <family val="2"/>
    </font>
    <font>
      <b/>
      <sz val="10"/>
      <name val="MS Sans Serif"/>
      <family val="2"/>
    </font>
    <font>
      <b/>
      <sz val="11"/>
      <color theme="1"/>
      <name val="Calibri"/>
      <family val="2"/>
      <scheme val="minor"/>
    </font>
    <font>
      <sz val="10.5"/>
      <color theme="1"/>
      <name val="Calibri"/>
      <family val="2"/>
      <scheme val="minor"/>
    </font>
    <font>
      <sz val="12"/>
      <color theme="1"/>
      <name val="Calibri"/>
      <family val="2"/>
      <scheme val="minor"/>
    </font>
    <font>
      <b/>
      <u/>
      <sz val="10"/>
      <name val="Arial"/>
      <family val="2"/>
    </font>
    <font>
      <b/>
      <sz val="9"/>
      <color rgb="FF00B050"/>
      <name val="Arial"/>
      <family val="2"/>
    </font>
    <font>
      <b/>
      <sz val="12"/>
      <color rgb="FFFFFFFF"/>
      <name val="Gill Sans Light"/>
    </font>
    <font>
      <sz val="10"/>
      <color theme="0" tint="-0.499984740745262"/>
      <name val="Arial"/>
      <family val="2"/>
    </font>
    <font>
      <sz val="9"/>
      <color theme="0" tint="-0.499984740745262"/>
      <name val="Arial"/>
      <family val="2"/>
    </font>
    <font>
      <b/>
      <sz val="10"/>
      <color rgb="FFFF6600"/>
      <name val="Arial"/>
      <family val="2"/>
    </font>
    <font>
      <b/>
      <sz val="12"/>
      <color rgb="FFFF6600"/>
      <name val="Calibri"/>
      <family val="2"/>
      <scheme val="minor"/>
    </font>
    <font>
      <sz val="12"/>
      <name val="Calibri"/>
      <family val="2"/>
      <scheme val="minor"/>
    </font>
    <font>
      <sz val="10"/>
      <name val="Calibri"/>
      <family val="2"/>
      <scheme val="minor"/>
    </font>
    <font>
      <vertAlign val="superscript"/>
      <sz val="10"/>
      <name val="Calibri"/>
      <family val="2"/>
      <scheme val="minor"/>
    </font>
    <font>
      <sz val="9"/>
      <color theme="9" tint="-0.249977111117893"/>
      <name val="Arial"/>
      <family val="2"/>
    </font>
    <font>
      <b/>
      <sz val="12"/>
      <name val="Arial"/>
      <family val="2"/>
    </font>
    <font>
      <b/>
      <sz val="18"/>
      <name val="Arial"/>
      <family val="2"/>
    </font>
    <font>
      <sz val="12"/>
      <name val="Arial"/>
      <family val="2"/>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41"/>
        <bgColor indexed="64"/>
      </patternFill>
    </fill>
    <fill>
      <patternFill patternType="solid">
        <fgColor indexed="43"/>
        <bgColor indexed="64"/>
      </patternFill>
    </fill>
    <fill>
      <patternFill patternType="solid">
        <fgColor indexed="9"/>
        <bgColor indexed="64"/>
      </patternFill>
    </fill>
    <fill>
      <patternFill patternType="solid">
        <fgColor indexed="47"/>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4"/>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rgb="FFFFFF99"/>
        <bgColor indexed="64"/>
      </patternFill>
    </fill>
    <fill>
      <patternFill patternType="solid">
        <fgColor rgb="FF4F81BD"/>
        <bgColor indexed="64"/>
      </patternFill>
    </fill>
    <fill>
      <patternFill patternType="solid">
        <fgColor theme="5" tint="0.59999389629810485"/>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39997558519241921"/>
        <bgColor indexed="64"/>
      </patternFill>
    </fill>
    <fill>
      <patternFill patternType="solid">
        <fgColor rgb="FFFF66CC"/>
        <bgColor indexed="64"/>
      </patternFill>
    </fill>
    <fill>
      <patternFill patternType="solid">
        <fgColor theme="2" tint="-0.249977111117893"/>
        <bgColor indexed="64"/>
      </patternFill>
    </fill>
  </fills>
  <borders count="6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hair">
        <color indexed="64"/>
      </bottom>
      <diagonal/>
    </border>
    <border>
      <left/>
      <right/>
      <top/>
      <bottom style="thin">
        <color indexed="8"/>
      </bottom>
      <diagonal/>
    </border>
    <border>
      <left style="thin">
        <color indexed="8"/>
      </left>
      <right/>
      <top/>
      <bottom/>
      <diagonal/>
    </border>
    <border>
      <left/>
      <right/>
      <top style="thin">
        <color indexed="8"/>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8"/>
      </left>
      <right style="thin">
        <color indexed="8"/>
      </right>
      <top style="thin">
        <color indexed="8"/>
      </top>
      <bottom style="thin">
        <color indexed="8"/>
      </bottom>
      <diagonal/>
    </border>
    <border>
      <left style="double">
        <color auto="1"/>
      </left>
      <right style="thin">
        <color auto="1"/>
      </right>
      <top style="double">
        <color auto="1"/>
      </top>
      <bottom style="double">
        <color auto="1"/>
      </bottom>
      <diagonal/>
    </border>
    <border>
      <left style="thin">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
      <left style="double">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double">
        <color auto="1"/>
      </right>
      <top style="medium">
        <color auto="1"/>
      </top>
      <bottom style="double">
        <color auto="1"/>
      </bottom>
      <diagonal/>
    </border>
    <border>
      <left style="double">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bottom style="thick">
        <color auto="1"/>
      </bottom>
      <diagonal/>
    </border>
    <border>
      <left style="thin">
        <color auto="1"/>
      </left>
      <right style="thin">
        <color auto="1"/>
      </right>
      <top style="thin">
        <color auto="1"/>
      </top>
      <bottom style="thick">
        <color auto="1"/>
      </bottom>
      <diagonal/>
    </border>
    <border>
      <left style="thin">
        <color auto="1"/>
      </left>
      <right style="double">
        <color auto="1"/>
      </right>
      <top style="thin">
        <color auto="1"/>
      </top>
      <bottom style="thick">
        <color auto="1"/>
      </bottom>
      <diagonal/>
    </border>
    <border>
      <left style="double">
        <color auto="1"/>
      </left>
      <right style="thin">
        <color auto="1"/>
      </right>
      <top style="thin">
        <color auto="1"/>
      </top>
      <bottom style="thick">
        <color auto="1"/>
      </bottom>
      <diagonal/>
    </border>
    <border>
      <left style="double">
        <color auto="1"/>
      </left>
      <right style="thin">
        <color auto="1"/>
      </right>
      <top style="thin">
        <color auto="1"/>
      </top>
      <bottom/>
      <diagonal/>
    </border>
    <border>
      <left style="double">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double">
        <color auto="1"/>
      </left>
      <right/>
      <top/>
      <bottom/>
      <diagonal/>
    </border>
    <border>
      <left/>
      <right/>
      <top style="thin">
        <color auto="1"/>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64"/>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s>
  <cellStyleXfs count="73">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173" fontId="10" fillId="0" borderId="0">
      <alignment vertical="center"/>
    </xf>
    <xf numFmtId="0" fontId="11" fillId="3" borderId="0" applyNumberFormat="0" applyBorder="0" applyAlignment="0" applyProtection="0"/>
    <xf numFmtId="0" fontId="12" fillId="20" borderId="1" applyNumberFormat="0" applyAlignment="0" applyProtection="0"/>
    <xf numFmtId="0" fontId="13" fillId="21" borderId="2" applyNumberFormat="0" applyAlignment="0" applyProtection="0"/>
    <xf numFmtId="43" fontId="2" fillId="0" borderId="0" applyFont="0" applyFill="0" applyBorder="0" applyAlignment="0" applyProtection="0"/>
    <xf numFmtId="3" fontId="14" fillId="0" borderId="0"/>
    <xf numFmtId="6" fontId="15" fillId="0" borderId="0" applyFont="0" applyFill="0" applyBorder="0" applyAlignment="0" applyProtection="0"/>
    <xf numFmtId="8" fontId="16" fillId="0" borderId="0" applyBorder="0" applyAlignment="0"/>
    <xf numFmtId="174" fontId="2" fillId="0" borderId="0" applyFont="0" applyFill="0" applyBorder="0" applyAlignment="0" applyProtection="0"/>
    <xf numFmtId="0" fontId="17" fillId="0" borderId="0" applyNumberFormat="0" applyFill="0" applyBorder="0" applyAlignment="0" applyProtection="0"/>
    <xf numFmtId="0" fontId="18" fillId="4" borderId="0" applyNumberFormat="0" applyBorder="0" applyAlignment="0" applyProtection="0"/>
    <xf numFmtId="38" fontId="19" fillId="22" borderId="0" applyNumberFormat="0" applyBorder="0" applyAlignment="0" applyProtection="0"/>
    <xf numFmtId="0" fontId="20" fillId="0" borderId="3" applyNumberFormat="0" applyFill="0" applyAlignment="0" applyProtection="0"/>
    <xf numFmtId="0" fontId="21" fillId="0" borderId="4" applyNumberFormat="0" applyFill="0" applyAlignment="0" applyProtection="0"/>
    <xf numFmtId="0" fontId="22" fillId="0" borderId="5" applyNumberFormat="0" applyFill="0" applyAlignment="0" applyProtection="0"/>
    <xf numFmtId="0" fontId="22" fillId="0" borderId="0" applyNumberFormat="0" applyFill="0" applyBorder="0" applyAlignment="0" applyProtection="0"/>
    <xf numFmtId="0" fontId="4" fillId="0" borderId="0" applyNumberFormat="0" applyFill="0" applyBorder="0" applyAlignment="0" applyProtection="0">
      <alignment vertical="top"/>
      <protection locked="0"/>
    </xf>
    <xf numFmtId="0" fontId="23" fillId="7" borderId="1" applyNumberFormat="0" applyAlignment="0" applyProtection="0"/>
    <xf numFmtId="10" fontId="19" fillId="23" borderId="6" applyNumberFormat="0" applyBorder="0" applyAlignment="0" applyProtection="0"/>
    <xf numFmtId="0" fontId="24" fillId="0" borderId="7" applyNumberFormat="0" applyFill="0" applyAlignment="0" applyProtection="0"/>
    <xf numFmtId="175" fontId="2" fillId="0" borderId="0" applyFont="0" applyFill="0" applyBorder="0" applyAlignment="0" applyProtection="0"/>
    <xf numFmtId="176" fontId="2" fillId="0" borderId="0" applyFont="0" applyFill="0" applyBorder="0" applyAlignment="0" applyProtection="0"/>
    <xf numFmtId="177" fontId="14" fillId="0" borderId="0" applyFont="0" applyFill="0" applyBorder="0" applyAlignment="0" applyProtection="0"/>
    <xf numFmtId="178" fontId="14" fillId="0" borderId="0" applyFont="0" applyFill="0" applyBorder="0" applyAlignment="0" applyProtection="0"/>
    <xf numFmtId="0" fontId="25" fillId="24" borderId="0" applyNumberFormat="0" applyBorder="0" applyAlignment="0" applyProtection="0"/>
    <xf numFmtId="37" fontId="26" fillId="0" borderId="0"/>
    <xf numFmtId="165" fontId="27" fillId="0" borderId="0"/>
    <xf numFmtId="0" fontId="2" fillId="25" borderId="8" applyNumberFormat="0" applyFont="0" applyAlignment="0" applyProtection="0"/>
    <xf numFmtId="40" fontId="28" fillId="0" borderId="0" applyFont="0" applyFill="0" applyBorder="0" applyAlignment="0" applyProtection="0"/>
    <xf numFmtId="38" fontId="28" fillId="0" borderId="0" applyFont="0" applyFill="0" applyBorder="0" applyAlignment="0" applyProtection="0"/>
    <xf numFmtId="0" fontId="29" fillId="20" borderId="9" applyNumberFormat="0" applyAlignment="0" applyProtection="0"/>
    <xf numFmtId="10" fontId="2" fillId="0" borderId="0" applyFont="0" applyFill="0" applyBorder="0" applyAlignment="0" applyProtection="0"/>
    <xf numFmtId="10" fontId="30" fillId="0" borderId="0" applyFont="0" applyFill="0" applyBorder="0" applyAlignment="0" applyProtection="0"/>
    <xf numFmtId="0" fontId="31" fillId="0" borderId="10" applyNumberFormat="0" applyAlignment="0"/>
    <xf numFmtId="0" fontId="2" fillId="0" borderId="11" applyNumberFormat="0" applyFont="0" applyFill="0" applyAlignment="0" applyProtection="0"/>
    <xf numFmtId="0" fontId="2" fillId="0" borderId="12" applyNumberFormat="0" applyFont="0" applyFill="0" applyAlignment="0" applyProtection="0"/>
    <xf numFmtId="0" fontId="2" fillId="0" borderId="8" applyNumberFormat="0" applyFont="0" applyFill="0" applyAlignment="0" applyProtection="0"/>
    <xf numFmtId="0" fontId="32" fillId="0" borderId="0" applyNumberFormat="0" applyFill="0" applyBorder="0" applyAlignment="0" applyProtection="0"/>
    <xf numFmtId="0" fontId="33" fillId="0" borderId="0" applyNumberFormat="0" applyFill="0" applyBorder="0" applyProtection="0">
      <alignment horizontal="left"/>
    </xf>
    <xf numFmtId="0" fontId="34" fillId="0" borderId="0" applyNumberFormat="0" applyFill="0" applyBorder="0" applyAlignment="0" applyProtection="0"/>
    <xf numFmtId="0" fontId="2" fillId="0" borderId="13" applyNumberFormat="0" applyFont="0" applyFill="0" applyAlignment="0" applyProtection="0"/>
    <xf numFmtId="0" fontId="35" fillId="0" borderId="0" applyNumberFormat="0" applyFill="0" applyBorder="0" applyAlignment="0" applyProtection="0"/>
    <xf numFmtId="0" fontId="36" fillId="0" borderId="14" applyNumberFormat="0" applyFill="0" applyAlignment="0" applyProtection="0"/>
    <xf numFmtId="0" fontId="37" fillId="0" borderId="0" applyNumberForma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52" fillId="0" borderId="0"/>
    <xf numFmtId="0" fontId="2" fillId="0" borderId="0"/>
  </cellStyleXfs>
  <cellXfs count="547">
    <xf numFmtId="0" fontId="0" fillId="0" borderId="0" xfId="0"/>
    <xf numFmtId="0" fontId="0" fillId="0" borderId="6" xfId="0" applyBorder="1"/>
    <xf numFmtId="0" fontId="0" fillId="26" borderId="0" xfId="0" applyFill="1"/>
    <xf numFmtId="0" fontId="5" fillId="0" borderId="0" xfId="0" applyFont="1"/>
    <xf numFmtId="0" fontId="0" fillId="0" borderId="0" xfId="0" applyAlignment="1" applyProtection="1">
      <alignment horizontal="left"/>
    </xf>
    <xf numFmtId="0" fontId="33" fillId="0" borderId="0" xfId="0" applyFont="1"/>
    <xf numFmtId="0" fontId="38" fillId="0" borderId="0" xfId="0" applyFont="1" applyAlignment="1">
      <alignment horizontal="center"/>
    </xf>
    <xf numFmtId="0" fontId="5" fillId="27" borderId="6" xfId="0" applyFont="1" applyFill="1" applyBorder="1" applyAlignment="1">
      <alignment horizontal="center"/>
    </xf>
    <xf numFmtId="0" fontId="7" fillId="28" borderId="6" xfId="0" applyFont="1" applyFill="1" applyBorder="1"/>
    <xf numFmtId="8" fontId="7" fillId="28" borderId="6" xfId="0" applyNumberFormat="1" applyFont="1" applyFill="1" applyBorder="1" applyAlignment="1">
      <alignment horizontal="right"/>
    </xf>
    <xf numFmtId="166" fontId="7" fillId="28" borderId="6" xfId="0" applyNumberFormat="1" applyFont="1" applyFill="1" applyBorder="1" applyAlignment="1">
      <alignment horizontal="right"/>
    </xf>
    <xf numFmtId="0" fontId="0" fillId="0" borderId="6" xfId="0" applyBorder="1" applyAlignment="1">
      <alignment horizontal="center"/>
    </xf>
    <xf numFmtId="167" fontId="40" fillId="0" borderId="6" xfId="0" applyNumberFormat="1" applyFont="1" applyFill="1" applyBorder="1" applyAlignment="1">
      <alignment horizontal="right"/>
    </xf>
    <xf numFmtId="0" fontId="40" fillId="0" borderId="6" xfId="0" applyFont="1" applyBorder="1" applyAlignment="1">
      <alignment horizontal="center"/>
    </xf>
    <xf numFmtId="166" fontId="0" fillId="0" borderId="6" xfId="0" applyNumberFormat="1" applyBorder="1"/>
    <xf numFmtId="166" fontId="7" fillId="0" borderId="6" xfId="0" applyNumberFormat="1" applyFont="1" applyBorder="1"/>
    <xf numFmtId="0" fontId="7" fillId="0" borderId="6" xfId="0" applyFont="1" applyBorder="1"/>
    <xf numFmtId="166" fontId="7" fillId="0" borderId="6" xfId="29" applyNumberFormat="1" applyFont="1" applyBorder="1"/>
    <xf numFmtId="0" fontId="7" fillId="0" borderId="15" xfId="0" applyFont="1" applyBorder="1"/>
    <xf numFmtId="166" fontId="0" fillId="0" borderId="15" xfId="0" applyNumberFormat="1" applyBorder="1"/>
    <xf numFmtId="0" fontId="0" fillId="0" borderId="15" xfId="0" applyBorder="1" applyAlignment="1">
      <alignment horizontal="center"/>
    </xf>
    <xf numFmtId="0" fontId="7" fillId="0" borderId="6" xfId="0" applyFont="1" applyFill="1" applyBorder="1"/>
    <xf numFmtId="15" fontId="0" fillId="0" borderId="0" xfId="0" applyNumberFormat="1"/>
    <xf numFmtId="0" fontId="39" fillId="0" borderId="0" xfId="0" applyFont="1"/>
    <xf numFmtId="0" fontId="0" fillId="0" borderId="0" xfId="0" applyFill="1" applyAlignment="1">
      <alignment horizontal="left"/>
    </xf>
    <xf numFmtId="0" fontId="0" fillId="0" borderId="0" xfId="0" applyFill="1"/>
    <xf numFmtId="0" fontId="2" fillId="0" borderId="0" xfId="0" applyFont="1"/>
    <xf numFmtId="0" fontId="42" fillId="27" borderId="6" xfId="0" applyFont="1" applyFill="1" applyBorder="1" applyAlignment="1">
      <alignment horizontal="center"/>
    </xf>
    <xf numFmtId="0" fontId="43" fillId="0" borderId="6" xfId="0" applyFont="1" applyBorder="1" applyAlignment="1">
      <alignment horizontal="center"/>
    </xf>
    <xf numFmtId="0" fontId="43" fillId="0" borderId="6" xfId="0" applyFont="1" applyBorder="1" applyAlignment="1">
      <alignment horizontal="center" wrapText="1"/>
    </xf>
    <xf numFmtId="0" fontId="43" fillId="0" borderId="0" xfId="0" applyFont="1"/>
    <xf numFmtId="0" fontId="44" fillId="0" borderId="0" xfId="0" applyFont="1"/>
    <xf numFmtId="165" fontId="44" fillId="0" borderId="0" xfId="0" applyNumberFormat="1" applyFont="1" applyProtection="1"/>
    <xf numFmtId="0" fontId="44" fillId="0" borderId="0" xfId="0" applyFont="1" applyFill="1"/>
    <xf numFmtId="1" fontId="0" fillId="0" borderId="0" xfId="0" applyNumberFormat="1"/>
    <xf numFmtId="170" fontId="0" fillId="0" borderId="0" xfId="0" applyNumberFormat="1"/>
    <xf numFmtId="0" fontId="5" fillId="0" borderId="0" xfId="0" applyFont="1" applyFill="1"/>
    <xf numFmtId="0" fontId="5" fillId="29" borderId="0" xfId="0" applyFont="1" applyFill="1"/>
    <xf numFmtId="0" fontId="0" fillId="29" borderId="0" xfId="0" applyFill="1"/>
    <xf numFmtId="0" fontId="6" fillId="0" borderId="0" xfId="0" applyFont="1" applyFill="1"/>
    <xf numFmtId="0" fontId="7" fillId="0" borderId="0" xfId="0" applyFont="1" applyFill="1" applyBorder="1" applyAlignment="1">
      <alignment horizontal="right" vertical="top" wrapText="1"/>
    </xf>
    <xf numFmtId="0" fontId="7" fillId="0" borderId="0" xfId="0" applyFont="1" applyFill="1"/>
    <xf numFmtId="164" fontId="0" fillId="0" borderId="0" xfId="0" applyNumberFormat="1" applyFill="1"/>
    <xf numFmtId="164" fontId="6" fillId="0" borderId="0" xfId="0" applyNumberFormat="1" applyFont="1" applyFill="1"/>
    <xf numFmtId="0" fontId="33" fillId="0" borderId="0" xfId="0" applyFont="1" applyFill="1" applyBorder="1"/>
    <xf numFmtId="0" fontId="46" fillId="0" borderId="0" xfId="0" applyFont="1" applyFill="1"/>
    <xf numFmtId="0" fontId="47" fillId="0" borderId="0" xfId="0" applyFont="1" applyFill="1" applyBorder="1"/>
    <xf numFmtId="0" fontId="46" fillId="0" borderId="0" xfId="0" applyFont="1" applyFill="1" applyBorder="1" applyAlignment="1">
      <alignment horizontal="left"/>
    </xf>
    <xf numFmtId="0" fontId="46" fillId="0" borderId="0" xfId="0" applyFont="1" applyFill="1" applyBorder="1" applyAlignment="1">
      <alignment horizontal="left" indent="2"/>
    </xf>
    <xf numFmtId="0" fontId="46" fillId="0" borderId="0" xfId="0" applyFont="1" applyFill="1" applyBorder="1" applyAlignment="1">
      <alignment horizontal="left" indent="1"/>
    </xf>
    <xf numFmtId="0" fontId="46" fillId="0" borderId="0" xfId="0" applyFont="1" applyFill="1" applyBorder="1" applyAlignment="1">
      <alignment horizontal="right" vertical="top" wrapText="1"/>
    </xf>
    <xf numFmtId="0" fontId="48" fillId="0" borderId="0" xfId="0" applyFont="1" applyFill="1" applyBorder="1" applyAlignment="1">
      <alignment horizontal="right" vertical="top" wrapText="1"/>
    </xf>
    <xf numFmtId="164" fontId="46" fillId="0" borderId="0" xfId="29" applyNumberFormat="1" applyFont="1" applyFill="1"/>
    <xf numFmtId="0" fontId="46" fillId="0" borderId="0" xfId="0" applyFont="1"/>
    <xf numFmtId="0" fontId="45" fillId="0" borderId="0" xfId="0" applyFont="1" applyFill="1" applyAlignment="1">
      <alignment horizontal="left"/>
    </xf>
    <xf numFmtId="0" fontId="45" fillId="0" borderId="0" xfId="0" applyFont="1" applyFill="1"/>
    <xf numFmtId="170" fontId="46" fillId="0" borderId="0" xfId="0" applyNumberFormat="1" applyFont="1" applyBorder="1"/>
    <xf numFmtId="0" fontId="46" fillId="0" borderId="0" xfId="0" applyFont="1" applyBorder="1"/>
    <xf numFmtId="0" fontId="33" fillId="0" borderId="0" xfId="0" applyFont="1" applyFill="1"/>
    <xf numFmtId="1" fontId="46" fillId="0" borderId="0" xfId="0" applyNumberFormat="1" applyFont="1" applyBorder="1"/>
    <xf numFmtId="8" fontId="46" fillId="0" borderId="0" xfId="0" applyNumberFormat="1" applyFont="1" applyBorder="1"/>
    <xf numFmtId="0" fontId="49" fillId="0" borderId="0" xfId="0" applyFont="1"/>
    <xf numFmtId="0" fontId="33" fillId="0" borderId="0" xfId="0" applyFont="1" applyFill="1" applyAlignment="1">
      <alignment horizontal="left"/>
    </xf>
    <xf numFmtId="0" fontId="47" fillId="0" borderId="0" xfId="0" applyFont="1"/>
    <xf numFmtId="0" fontId="47" fillId="0" borderId="0" xfId="0" applyFont="1" applyFill="1"/>
    <xf numFmtId="1" fontId="2" fillId="0" borderId="0" xfId="0" applyNumberFormat="1" applyFont="1" applyFill="1"/>
    <xf numFmtId="0" fontId="46" fillId="0" borderId="0" xfId="0" applyFont="1" applyFill="1" applyAlignment="1">
      <alignment horizontal="left"/>
    </xf>
    <xf numFmtId="164" fontId="46" fillId="0" borderId="0" xfId="29" applyNumberFormat="1" applyFont="1" applyFill="1" applyBorder="1"/>
    <xf numFmtId="0" fontId="48" fillId="0" borderId="0" xfId="0" applyFont="1" applyFill="1"/>
    <xf numFmtId="0" fontId="50" fillId="0" borderId="0" xfId="0" applyFont="1" applyFill="1"/>
    <xf numFmtId="0" fontId="45" fillId="0" borderId="0" xfId="0" applyFont="1"/>
    <xf numFmtId="169" fontId="46" fillId="0" borderId="0" xfId="0" applyNumberFormat="1" applyFont="1" applyBorder="1"/>
    <xf numFmtId="0" fontId="0" fillId="27" borderId="0" xfId="0" applyFill="1" applyAlignment="1">
      <alignment horizontal="center"/>
    </xf>
    <xf numFmtId="0" fontId="46" fillId="27" borderId="0" xfId="0" applyFont="1" applyFill="1" applyAlignment="1">
      <alignment horizontal="center"/>
    </xf>
    <xf numFmtId="0" fontId="0" fillId="0" borderId="0" xfId="0" applyAlignment="1">
      <alignment horizontal="center"/>
    </xf>
    <xf numFmtId="0" fontId="0" fillId="27" borderId="0" xfId="0" applyFill="1" applyBorder="1" applyAlignment="1">
      <alignment horizontal="center"/>
    </xf>
    <xf numFmtId="0" fontId="0" fillId="0" borderId="0" xfId="0" applyBorder="1"/>
    <xf numFmtId="8" fontId="2" fillId="0" borderId="0" xfId="0" applyNumberFormat="1" applyFont="1"/>
    <xf numFmtId="0" fontId="45" fillId="0" borderId="0" xfId="0" applyFont="1" applyFill="1" applyBorder="1" applyAlignment="1">
      <alignment horizontal="left"/>
    </xf>
    <xf numFmtId="0" fontId="0" fillId="0" borderId="0" xfId="0" applyFill="1" applyAlignment="1">
      <alignment horizontal="center"/>
    </xf>
    <xf numFmtId="0" fontId="5" fillId="0" borderId="0" xfId="0" applyFont="1" applyFill="1" applyAlignment="1">
      <alignment horizontal="left"/>
    </xf>
    <xf numFmtId="166" fontId="44" fillId="0" borderId="0" xfId="0" applyNumberFormat="1" applyFont="1"/>
    <xf numFmtId="166" fontId="0" fillId="0" borderId="0" xfId="0" applyNumberFormat="1"/>
    <xf numFmtId="170" fontId="33" fillId="0" borderId="0" xfId="0" applyNumberFormat="1" applyFont="1" applyBorder="1"/>
    <xf numFmtId="0" fontId="7" fillId="0" borderId="0" xfId="0" applyFont="1"/>
    <xf numFmtId="0" fontId="7" fillId="0" borderId="6" xfId="0" applyFont="1" applyBorder="1" applyAlignment="1">
      <alignment horizontal="left" vertical="top" wrapText="1"/>
    </xf>
    <xf numFmtId="167" fontId="0" fillId="0" borderId="6" xfId="0" applyNumberFormat="1" applyBorder="1"/>
    <xf numFmtId="0" fontId="33" fillId="0" borderId="0" xfId="0" applyFont="1" applyBorder="1" applyAlignment="1">
      <alignment horizontal="left" vertical="top" wrapText="1"/>
    </xf>
    <xf numFmtId="170" fontId="33" fillId="0" borderId="0" xfId="29" applyNumberFormat="1" applyFont="1" applyFill="1" applyBorder="1"/>
    <xf numFmtId="9" fontId="0" fillId="0" borderId="0" xfId="0" applyNumberFormat="1"/>
    <xf numFmtId="0" fontId="4" fillId="0" borderId="6" xfId="41" applyFont="1" applyBorder="1" applyAlignment="1" applyProtection="1">
      <alignment horizontal="center"/>
    </xf>
    <xf numFmtId="166" fontId="2" fillId="0" borderId="0" xfId="0" applyNumberFormat="1" applyFont="1"/>
    <xf numFmtId="0" fontId="53" fillId="0" borderId="0" xfId="0" applyFont="1" applyFill="1"/>
    <xf numFmtId="170" fontId="53" fillId="0" borderId="0" xfId="0" applyNumberFormat="1" applyFont="1" applyBorder="1"/>
    <xf numFmtId="0" fontId="53" fillId="0" borderId="0" xfId="0" applyFont="1"/>
    <xf numFmtId="8" fontId="0" fillId="0" borderId="0" xfId="0" applyNumberFormat="1"/>
    <xf numFmtId="2" fontId="46" fillId="0" borderId="0" xfId="0" applyNumberFormat="1" applyFont="1" applyBorder="1"/>
    <xf numFmtId="9" fontId="46" fillId="0" borderId="0" xfId="0" applyNumberFormat="1" applyFont="1" applyBorder="1"/>
    <xf numFmtId="0" fontId="43" fillId="0" borderId="6" xfId="0" applyFont="1" applyBorder="1" applyAlignment="1">
      <alignment horizontal="left"/>
    </xf>
    <xf numFmtId="9" fontId="2" fillId="0" borderId="0" xfId="0" applyNumberFormat="1" applyFont="1" applyFill="1"/>
    <xf numFmtId="167" fontId="7" fillId="0" borderId="6" xfId="0" applyNumberFormat="1" applyFont="1" applyFill="1" applyBorder="1" applyAlignment="1">
      <alignment horizontal="right"/>
    </xf>
    <xf numFmtId="1" fontId="0" fillId="0" borderId="0" xfId="0" applyNumberFormat="1" applyFill="1"/>
    <xf numFmtId="0" fontId="4" fillId="0" borderId="6" xfId="41" applyBorder="1" applyAlignment="1" applyProtection="1">
      <alignment horizontal="center"/>
    </xf>
    <xf numFmtId="10" fontId="2" fillId="0" borderId="0" xfId="0" applyNumberFormat="1" applyFont="1"/>
    <xf numFmtId="1" fontId="46" fillId="0" borderId="0" xfId="0" applyNumberFormat="1" applyFont="1" applyFill="1"/>
    <xf numFmtId="1" fontId="46" fillId="0" borderId="0" xfId="0" applyNumberFormat="1" applyFont="1"/>
    <xf numFmtId="168" fontId="46" fillId="0" borderId="0" xfId="0" applyNumberFormat="1" applyFont="1"/>
    <xf numFmtId="3" fontId="0" fillId="0" borderId="6" xfId="0" applyNumberFormat="1" applyBorder="1"/>
    <xf numFmtId="172" fontId="45" fillId="0" borderId="0" xfId="0" applyNumberFormat="1" applyFont="1" applyBorder="1"/>
    <xf numFmtId="0" fontId="55" fillId="0" borderId="0" xfId="0" applyFont="1" applyFill="1"/>
    <xf numFmtId="0" fontId="56" fillId="0" borderId="0" xfId="0" applyFont="1" applyFill="1" applyBorder="1" applyAlignment="1">
      <alignment horizontal="left"/>
    </xf>
    <xf numFmtId="170" fontId="56" fillId="0" borderId="0" xfId="0" applyNumberFormat="1" applyFont="1" applyBorder="1"/>
    <xf numFmtId="0" fontId="55" fillId="0" borderId="0" xfId="0" applyFont="1"/>
    <xf numFmtId="0" fontId="57" fillId="0" borderId="0" xfId="0" applyFont="1" applyFill="1"/>
    <xf numFmtId="170" fontId="57" fillId="0" borderId="0" xfId="0" applyNumberFormat="1" applyFont="1" applyFill="1"/>
    <xf numFmtId="0" fontId="57" fillId="0" borderId="0" xfId="0" applyFont="1"/>
    <xf numFmtId="0" fontId="57" fillId="0" borderId="0" xfId="0" applyFont="1" applyBorder="1"/>
    <xf numFmtId="0" fontId="57" fillId="0" borderId="0" xfId="0" applyFont="1" applyFill="1" applyBorder="1" applyAlignment="1">
      <alignment horizontal="left"/>
    </xf>
    <xf numFmtId="170" fontId="57" fillId="0" borderId="0" xfId="0" applyNumberFormat="1" applyFont="1" applyBorder="1"/>
    <xf numFmtId="3" fontId="57" fillId="0" borderId="0" xfId="0" applyNumberFormat="1" applyFont="1" applyFill="1" applyBorder="1"/>
    <xf numFmtId="0" fontId="57" fillId="0" borderId="0" xfId="0" applyFont="1" applyFill="1" applyBorder="1" applyAlignment="1">
      <alignment horizontal="right"/>
    </xf>
    <xf numFmtId="0" fontId="57" fillId="0" borderId="0" xfId="0" applyFont="1" applyFill="1" applyBorder="1"/>
    <xf numFmtId="170" fontId="58" fillId="0" borderId="0" xfId="0" applyNumberFormat="1" applyFont="1" applyFill="1"/>
    <xf numFmtId="164" fontId="57" fillId="0" borderId="0" xfId="29" applyNumberFormat="1" applyFont="1" applyFill="1" applyBorder="1"/>
    <xf numFmtId="164" fontId="57" fillId="0" borderId="0" xfId="29" applyNumberFormat="1" applyFont="1" applyFill="1"/>
    <xf numFmtId="0" fontId="5" fillId="0" borderId="0" xfId="0" applyFont="1" applyFill="1" applyAlignment="1">
      <alignment horizontal="center"/>
    </xf>
    <xf numFmtId="2" fontId="0" fillId="0" borderId="0" xfId="0" applyNumberFormat="1"/>
    <xf numFmtId="179" fontId="0" fillId="0" borderId="0" xfId="69" applyNumberFormat="1" applyFont="1"/>
    <xf numFmtId="10" fontId="0" fillId="0" borderId="0" xfId="70" applyNumberFormat="1" applyFont="1"/>
    <xf numFmtId="165" fontId="7" fillId="0" borderId="0" xfId="0" applyNumberFormat="1" applyFont="1" applyProtection="1"/>
    <xf numFmtId="169" fontId="7" fillId="0" borderId="0" xfId="0" applyNumberFormat="1" applyFont="1"/>
    <xf numFmtId="0" fontId="7" fillId="0" borderId="0" xfId="0" applyFont="1" applyAlignment="1">
      <alignment horizontal="center"/>
    </xf>
    <xf numFmtId="0" fontId="0" fillId="30" borderId="0" xfId="0" applyFill="1"/>
    <xf numFmtId="10" fontId="0" fillId="0" borderId="0" xfId="0" applyNumberFormat="1"/>
    <xf numFmtId="9" fontId="0" fillId="30" borderId="0" xfId="0" applyNumberFormat="1" applyFill="1"/>
    <xf numFmtId="0" fontId="0" fillId="30" borderId="0" xfId="0" applyFill="1" applyAlignment="1">
      <alignment horizontal="left" indent="1"/>
    </xf>
    <xf numFmtId="8" fontId="0" fillId="31" borderId="0" xfId="0" applyNumberFormat="1" applyFill="1"/>
    <xf numFmtId="0" fontId="0" fillId="32" borderId="0" xfId="0" applyFill="1"/>
    <xf numFmtId="0" fontId="59" fillId="0" borderId="0" xfId="0" applyFont="1"/>
    <xf numFmtId="0" fontId="0" fillId="0" borderId="0" xfId="0" applyAlignment="1">
      <alignment wrapText="1"/>
    </xf>
    <xf numFmtId="0" fontId="2" fillId="0" borderId="6" xfId="0" applyFont="1" applyBorder="1" applyAlignment="1">
      <alignment wrapText="1"/>
    </xf>
    <xf numFmtId="0" fontId="0" fillId="0" borderId="16" xfId="0" applyBorder="1" applyAlignment="1">
      <alignment wrapText="1"/>
    </xf>
    <xf numFmtId="0" fontId="2" fillId="0" borderId="6" xfId="0" applyFont="1" applyBorder="1" applyAlignment="1">
      <alignment vertical="top" wrapText="1"/>
    </xf>
    <xf numFmtId="0" fontId="0" fillId="0" borderId="16" xfId="0" applyBorder="1" applyAlignment="1">
      <alignment vertical="top" wrapText="1"/>
    </xf>
    <xf numFmtId="0" fontId="0" fillId="0" borderId="0" xfId="0" applyAlignment="1">
      <alignment vertical="top" wrapText="1"/>
    </xf>
    <xf numFmtId="0" fontId="60" fillId="0" borderId="0" xfId="0" applyFont="1"/>
    <xf numFmtId="0" fontId="3" fillId="33" borderId="16" xfId="0" applyFont="1" applyFill="1" applyBorder="1" applyAlignment="1">
      <alignment horizontal="left" vertical="center"/>
    </xf>
    <xf numFmtId="37" fontId="3" fillId="33" borderId="18" xfId="0" applyNumberFormat="1" applyFont="1" applyFill="1" applyBorder="1" applyAlignment="1">
      <alignment horizontal="center" vertical="center"/>
    </xf>
    <xf numFmtId="37" fontId="3" fillId="33" borderId="6" xfId="0" applyNumberFormat="1" applyFont="1" applyFill="1" applyBorder="1" applyAlignment="1">
      <alignment horizontal="center" vertical="center"/>
    </xf>
    <xf numFmtId="37" fontId="3" fillId="33" borderId="19" xfId="0" applyNumberFormat="1" applyFont="1" applyFill="1" applyBorder="1" applyAlignment="1">
      <alignment horizontal="center" vertical="center"/>
    </xf>
    <xf numFmtId="37" fontId="3" fillId="33" borderId="16" xfId="0" applyNumberFormat="1" applyFont="1" applyFill="1" applyBorder="1" applyAlignment="1">
      <alignment horizontal="center" vertical="center"/>
    </xf>
    <xf numFmtId="0" fontId="3" fillId="23" borderId="23" xfId="0" applyFont="1" applyFill="1" applyBorder="1" applyAlignment="1">
      <alignment horizontal="center" vertical="center"/>
    </xf>
    <xf numFmtId="0" fontId="3" fillId="23" borderId="24" xfId="0" applyFont="1" applyFill="1" applyBorder="1" applyAlignment="1">
      <alignment horizontal="center" vertical="center"/>
    </xf>
    <xf numFmtId="0" fontId="3" fillId="23" borderId="22" xfId="0" applyFont="1" applyFill="1" applyBorder="1" applyAlignment="1">
      <alignment horizontal="center" vertical="center"/>
    </xf>
    <xf numFmtId="0" fontId="3" fillId="23" borderId="23" xfId="0" applyFont="1" applyFill="1" applyBorder="1" applyAlignment="1">
      <alignment horizontal="center" vertical="center" wrapText="1"/>
    </xf>
    <xf numFmtId="0" fontId="3" fillId="23" borderId="24" xfId="0" applyFont="1" applyFill="1" applyBorder="1" applyAlignment="1">
      <alignment horizontal="center" vertical="center" wrapText="1"/>
    </xf>
    <xf numFmtId="0" fontId="3" fillId="23" borderId="22" xfId="0" applyFont="1" applyFill="1" applyBorder="1" applyAlignment="1">
      <alignment horizontal="center" vertical="center" wrapText="1"/>
    </xf>
    <xf numFmtId="9" fontId="3" fillId="33" borderId="18" xfId="0" applyNumberFormat="1" applyFont="1" applyFill="1" applyBorder="1" applyAlignment="1">
      <alignment horizontal="center" vertical="center"/>
    </xf>
    <xf numFmtId="9" fontId="3" fillId="33" borderId="6" xfId="0" applyNumberFormat="1" applyFont="1" applyFill="1" applyBorder="1" applyAlignment="1">
      <alignment horizontal="center" vertical="center"/>
    </xf>
    <xf numFmtId="9" fontId="3" fillId="33" borderId="19" xfId="0" applyNumberFormat="1" applyFont="1" applyFill="1" applyBorder="1" applyAlignment="1">
      <alignment horizontal="center" vertical="center"/>
    </xf>
    <xf numFmtId="0" fontId="38" fillId="23" borderId="0" xfId="0" applyFont="1" applyFill="1" applyBorder="1" applyAlignment="1">
      <alignment horizontal="center" vertical="center" wrapText="1"/>
    </xf>
    <xf numFmtId="0" fontId="5" fillId="23" borderId="24"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5" fillId="0" borderId="20" xfId="0" applyFont="1" applyFill="1" applyBorder="1" applyAlignment="1">
      <alignment horizontal="center" vertical="center" wrapText="1"/>
    </xf>
    <xf numFmtId="37" fontId="0" fillId="0" borderId="0" xfId="0" applyNumberFormat="1"/>
    <xf numFmtId="3" fontId="0" fillId="0" borderId="0" xfId="0" applyNumberFormat="1" applyBorder="1"/>
    <xf numFmtId="9" fontId="3" fillId="0" borderId="0" xfId="0" applyNumberFormat="1" applyFont="1" applyFill="1" applyBorder="1" applyAlignment="1">
      <alignment horizontal="center" vertical="center"/>
    </xf>
    <xf numFmtId="180" fontId="3" fillId="0" borderId="0" xfId="0" applyNumberFormat="1" applyFont="1" applyFill="1" applyBorder="1" applyAlignment="1">
      <alignment horizontal="center" vertical="center"/>
    </xf>
    <xf numFmtId="10" fontId="0" fillId="0" borderId="0" xfId="0" applyNumberFormat="1" applyFill="1"/>
    <xf numFmtId="37" fontId="0" fillId="34" borderId="0" xfId="0" applyNumberFormat="1" applyFill="1"/>
    <xf numFmtId="0" fontId="52" fillId="33" borderId="8" xfId="71" applyFont="1" applyFill="1" applyBorder="1" applyAlignment="1"/>
    <xf numFmtId="3" fontId="52" fillId="33" borderId="8" xfId="71" applyNumberFormat="1" applyFont="1" applyFill="1" applyBorder="1" applyAlignment="1">
      <alignment horizontal="right"/>
    </xf>
    <xf numFmtId="3" fontId="52" fillId="33" borderId="0" xfId="71" applyNumberFormat="1" applyFill="1" applyAlignment="1"/>
    <xf numFmtId="0" fontId="61" fillId="0" borderId="27" xfId="71" applyFont="1" applyFill="1" applyBorder="1" applyAlignment="1">
      <alignment horizontal="center"/>
    </xf>
    <xf numFmtId="0" fontId="62" fillId="0" borderId="0" xfId="0" applyFont="1" applyFill="1" applyAlignment="1"/>
    <xf numFmtId="0" fontId="0" fillId="0" borderId="0" xfId="0" applyFill="1" applyAlignment="1"/>
    <xf numFmtId="0" fontId="63" fillId="32" borderId="0" xfId="0" applyFont="1" applyFill="1"/>
    <xf numFmtId="180" fontId="0" fillId="0" borderId="0" xfId="70" applyNumberFormat="1" applyFont="1"/>
    <xf numFmtId="181" fontId="0" fillId="0" borderId="0" xfId="0" applyNumberFormat="1"/>
    <xf numFmtId="0" fontId="64" fillId="0" borderId="0" xfId="0" applyFont="1"/>
    <xf numFmtId="0" fontId="63" fillId="0" borderId="28" xfId="0" applyFont="1" applyBorder="1" applyAlignment="1">
      <alignment horizontal="center"/>
    </xf>
    <xf numFmtId="0" fontId="63" fillId="0" borderId="29" xfId="0" applyFont="1" applyBorder="1" applyAlignment="1">
      <alignment horizontal="center"/>
    </xf>
    <xf numFmtId="0" fontId="63" fillId="0" borderId="30" xfId="0" applyFont="1" applyBorder="1" applyAlignment="1">
      <alignment horizontal="center"/>
    </xf>
    <xf numFmtId="0" fontId="63" fillId="0" borderId="31" xfId="0" applyFont="1" applyBorder="1" applyAlignment="1">
      <alignment horizontal="center"/>
    </xf>
    <xf numFmtId="0" fontId="63" fillId="0" borderId="32" xfId="0" applyFont="1" applyBorder="1" applyAlignment="1">
      <alignment horizontal="center"/>
    </xf>
    <xf numFmtId="0" fontId="63" fillId="0" borderId="33" xfId="0" applyFont="1" applyBorder="1" applyAlignment="1">
      <alignment horizontal="center"/>
    </xf>
    <xf numFmtId="0" fontId="0" fillId="0" borderId="35" xfId="0" applyBorder="1" applyAlignment="1">
      <alignment horizontal="center"/>
    </xf>
    <xf numFmtId="0" fontId="0" fillId="0" borderId="36" xfId="0" applyBorder="1" applyAlignment="1">
      <alignment horizontal="center"/>
    </xf>
    <xf numFmtId="0" fontId="0" fillId="0" borderId="37" xfId="0"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63" fillId="0" borderId="42" xfId="0" applyFont="1" applyBorder="1" applyAlignment="1">
      <alignment horizontal="center"/>
    </xf>
    <xf numFmtId="0" fontId="63" fillId="0" borderId="38" xfId="0" applyFont="1" applyBorder="1" applyAlignment="1">
      <alignment horizontal="center"/>
    </xf>
    <xf numFmtId="0" fontId="63" fillId="0" borderId="43" xfId="0" applyFont="1" applyBorder="1" applyAlignment="1">
      <alignment horizontal="center"/>
    </xf>
    <xf numFmtId="0" fontId="0" fillId="0" borderId="44" xfId="0" applyBorder="1" applyAlignment="1">
      <alignment horizontal="center"/>
    </xf>
    <xf numFmtId="0" fontId="0" fillId="0" borderId="45" xfId="0" applyBorder="1" applyAlignment="1">
      <alignment horizontal="center"/>
    </xf>
    <xf numFmtId="0" fontId="0" fillId="0" borderId="46" xfId="0" applyBorder="1" applyAlignment="1">
      <alignment horizontal="center"/>
    </xf>
    <xf numFmtId="0" fontId="0" fillId="0" borderId="0" xfId="0" applyFill="1" applyBorder="1" applyAlignment="1">
      <alignment horizontal="left"/>
    </xf>
    <xf numFmtId="0" fontId="2" fillId="0" borderId="0" xfId="0" applyFont="1" applyFill="1" applyBorder="1" applyAlignment="1">
      <alignment horizontal="left"/>
    </xf>
    <xf numFmtId="0" fontId="2" fillId="0" borderId="0" xfId="0" applyFont="1" applyAlignment="1">
      <alignment horizontal="center"/>
    </xf>
    <xf numFmtId="0" fontId="63" fillId="0" borderId="34" xfId="0" applyFont="1" applyBorder="1" applyAlignment="1">
      <alignment horizontal="center"/>
    </xf>
    <xf numFmtId="0" fontId="0" fillId="0" borderId="47" xfId="0" applyBorder="1" applyAlignment="1">
      <alignment horizontal="center"/>
    </xf>
    <xf numFmtId="0" fontId="0" fillId="0" borderId="48" xfId="0" applyBorder="1" applyAlignment="1">
      <alignment horizontal="center"/>
    </xf>
    <xf numFmtId="0" fontId="0" fillId="0" borderId="42" xfId="0" applyBorder="1" applyAlignment="1">
      <alignment horizontal="center"/>
    </xf>
    <xf numFmtId="0" fontId="63" fillId="0" borderId="49" xfId="0" applyFont="1" applyBorder="1" applyAlignment="1">
      <alignment horizontal="center"/>
    </xf>
    <xf numFmtId="0" fontId="0" fillId="0" borderId="50" xfId="0" applyBorder="1" applyAlignment="1">
      <alignment horizontal="center"/>
    </xf>
    <xf numFmtId="0" fontId="0" fillId="0" borderId="0" xfId="0" applyBorder="1" applyAlignment="1">
      <alignment horizontal="center"/>
    </xf>
    <xf numFmtId="168" fontId="0" fillId="0" borderId="0" xfId="0" applyNumberFormat="1"/>
    <xf numFmtId="180" fontId="0" fillId="32" borderId="0" xfId="70" applyNumberFormat="1" applyFont="1" applyFill="1"/>
    <xf numFmtId="180" fontId="2" fillId="32" borderId="0" xfId="70" applyNumberFormat="1" applyFont="1" applyFill="1"/>
    <xf numFmtId="0" fontId="0" fillId="0" borderId="0" xfId="0" applyAlignment="1">
      <alignment vertical="top"/>
    </xf>
    <xf numFmtId="0" fontId="5" fillId="33" borderId="0" xfId="0" applyFont="1" applyFill="1" applyAlignment="1">
      <alignment vertical="top"/>
    </xf>
    <xf numFmtId="0" fontId="46" fillId="0" borderId="0" xfId="0" applyFont="1" applyAlignment="1">
      <alignment vertical="top"/>
    </xf>
    <xf numFmtId="0" fontId="5" fillId="36" borderId="0" xfId="0" applyFont="1" applyFill="1" applyAlignment="1">
      <alignment vertical="top"/>
    </xf>
    <xf numFmtId="0" fontId="5" fillId="37" borderId="0" xfId="0" applyFont="1" applyFill="1" applyAlignment="1">
      <alignment vertical="top"/>
    </xf>
    <xf numFmtId="0" fontId="54" fillId="0" borderId="0" xfId="0" applyFont="1"/>
    <xf numFmtId="0" fontId="0" fillId="0" borderId="0" xfId="0" applyAlignment="1">
      <alignment horizontal="left" indent="1"/>
    </xf>
    <xf numFmtId="0" fontId="0" fillId="0" borderId="35" xfId="0" applyBorder="1"/>
    <xf numFmtId="0" fontId="2" fillId="0" borderId="35" xfId="0" applyFont="1" applyBorder="1"/>
    <xf numFmtId="168" fontId="0" fillId="0" borderId="35" xfId="0" applyNumberFormat="1" applyBorder="1"/>
    <xf numFmtId="9" fontId="0" fillId="0" borderId="35" xfId="0" applyNumberFormat="1" applyBorder="1"/>
    <xf numFmtId="0" fontId="46" fillId="0" borderId="0" xfId="0" applyFont="1" applyFill="1" applyBorder="1" applyAlignment="1">
      <alignment horizontal="left" wrapText="1" indent="2"/>
    </xf>
    <xf numFmtId="0" fontId="0" fillId="33" borderId="0" xfId="0" applyFill="1" applyAlignment="1">
      <alignment horizontal="center"/>
    </xf>
    <xf numFmtId="0" fontId="2" fillId="33" borderId="0" xfId="0" applyFont="1" applyFill="1" applyAlignment="1">
      <alignment horizontal="center"/>
    </xf>
    <xf numFmtId="0" fontId="0" fillId="33" borderId="0" xfId="0" applyFill="1"/>
    <xf numFmtId="0" fontId="7" fillId="33" borderId="0" xfId="0" applyFont="1" applyFill="1"/>
    <xf numFmtId="0" fontId="55" fillId="33" borderId="0" xfId="0" applyFont="1" applyFill="1"/>
    <xf numFmtId="0" fontId="46" fillId="33" borderId="0" xfId="0" applyFont="1" applyFill="1"/>
    <xf numFmtId="0" fontId="45" fillId="33" borderId="0" xfId="0" applyFont="1" applyFill="1"/>
    <xf numFmtId="0" fontId="53" fillId="33" borderId="0" xfId="0" applyFont="1" applyFill="1"/>
    <xf numFmtId="0" fontId="33" fillId="33" borderId="0" xfId="0" applyFont="1" applyFill="1"/>
    <xf numFmtId="0" fontId="57" fillId="33" borderId="0" xfId="0" applyFont="1" applyFill="1"/>
    <xf numFmtId="0" fontId="0" fillId="37" borderId="0" xfId="0" applyFill="1" applyAlignment="1">
      <alignment horizontal="center"/>
    </xf>
    <xf numFmtId="0" fontId="0" fillId="37" borderId="0" xfId="0" applyFill="1"/>
    <xf numFmtId="170" fontId="55" fillId="37" borderId="0" xfId="0" applyNumberFormat="1" applyFont="1" applyFill="1"/>
    <xf numFmtId="0" fontId="46" fillId="37" borderId="0" xfId="0" applyFont="1" applyFill="1"/>
    <xf numFmtId="170" fontId="53" fillId="37" borderId="0" xfId="0" applyNumberFormat="1" applyFont="1" applyFill="1"/>
    <xf numFmtId="3" fontId="45" fillId="37" borderId="0" xfId="0" applyNumberFormat="1" applyFont="1" applyFill="1"/>
    <xf numFmtId="170" fontId="33" fillId="37" borderId="0" xfId="0" applyNumberFormat="1" applyFont="1" applyFill="1"/>
    <xf numFmtId="0" fontId="45" fillId="37" borderId="0" xfId="0" applyFont="1" applyFill="1"/>
    <xf numFmtId="0" fontId="53" fillId="37" borderId="0" xfId="0" applyFont="1" applyFill="1"/>
    <xf numFmtId="44" fontId="45" fillId="33" borderId="0" xfId="69" applyFont="1" applyFill="1"/>
    <xf numFmtId="0" fontId="45" fillId="0" borderId="0" xfId="0" applyFont="1" applyFill="1" applyBorder="1" applyAlignment="1">
      <alignment horizontal="left" indent="2"/>
    </xf>
    <xf numFmtId="0" fontId="45" fillId="0" borderId="0" xfId="0" applyFont="1" applyAlignment="1">
      <alignment horizontal="left" indent="2"/>
    </xf>
    <xf numFmtId="0" fontId="45" fillId="0" borderId="0" xfId="0" applyFont="1" applyFill="1" applyAlignment="1">
      <alignment horizontal="left" indent="2"/>
    </xf>
    <xf numFmtId="182" fontId="0" fillId="0" borderId="0" xfId="69" applyNumberFormat="1" applyFont="1"/>
    <xf numFmtId="0" fontId="0" fillId="0" borderId="0" xfId="0" applyFont="1" applyFill="1"/>
    <xf numFmtId="9" fontId="0" fillId="32" borderId="0" xfId="0" applyNumberFormat="1" applyFill="1"/>
    <xf numFmtId="0" fontId="0" fillId="35" borderId="0" xfId="0" applyFill="1"/>
    <xf numFmtId="9" fontId="0" fillId="35" borderId="0" xfId="0" applyNumberFormat="1" applyFill="1"/>
    <xf numFmtId="168" fontId="2" fillId="0" borderId="0" xfId="0" applyNumberFormat="1" applyFont="1" applyFill="1"/>
    <xf numFmtId="44" fontId="46" fillId="0" borderId="0" xfId="0" applyNumberFormat="1" applyFont="1" applyFill="1"/>
    <xf numFmtId="3" fontId="0" fillId="0" borderId="0" xfId="0" applyNumberFormat="1" applyFill="1"/>
    <xf numFmtId="10" fontId="0" fillId="0" borderId="0" xfId="70" applyNumberFormat="1" applyFont="1" applyFill="1"/>
    <xf numFmtId="170" fontId="0" fillId="0" borderId="0" xfId="0" applyNumberFormat="1" applyFill="1"/>
    <xf numFmtId="0" fontId="2" fillId="0" borderId="0" xfId="0" applyFont="1" applyFill="1"/>
    <xf numFmtId="8" fontId="2" fillId="0" borderId="0" xfId="0" applyNumberFormat="1" applyFont="1" applyFill="1"/>
    <xf numFmtId="44" fontId="0" fillId="33" borderId="0" xfId="69" applyFont="1" applyFill="1"/>
    <xf numFmtId="1" fontId="0" fillId="33" borderId="0" xfId="0" applyNumberFormat="1" applyFill="1"/>
    <xf numFmtId="2" fontId="2" fillId="0" borderId="0" xfId="0" applyNumberFormat="1" applyFont="1"/>
    <xf numFmtId="165" fontId="66" fillId="0" borderId="0" xfId="0" applyNumberFormat="1" applyFont="1" applyProtection="1"/>
    <xf numFmtId="0" fontId="66" fillId="0" borderId="0" xfId="0" applyFont="1"/>
    <xf numFmtId="168" fontId="46" fillId="0" borderId="0" xfId="0" applyNumberFormat="1" applyFont="1" applyFill="1"/>
    <xf numFmtId="169" fontId="2" fillId="0" borderId="0" xfId="0" applyNumberFormat="1" applyFont="1"/>
    <xf numFmtId="183" fontId="2" fillId="0" borderId="0" xfId="0" applyNumberFormat="1" applyFont="1"/>
    <xf numFmtId="2" fontId="45" fillId="33" borderId="0" xfId="0" applyNumberFormat="1" applyFont="1" applyFill="1"/>
    <xf numFmtId="169" fontId="45" fillId="33" borderId="0" xfId="0" applyNumberFormat="1" applyFont="1" applyFill="1"/>
    <xf numFmtId="183" fontId="45" fillId="33" borderId="0" xfId="0" applyNumberFormat="1" applyFont="1" applyFill="1"/>
    <xf numFmtId="183" fontId="46" fillId="0" borderId="0" xfId="0" applyNumberFormat="1" applyFont="1" applyFill="1"/>
    <xf numFmtId="0" fontId="45" fillId="0" borderId="0" xfId="0" applyFont="1" applyAlignment="1">
      <alignment horizontal="left"/>
    </xf>
    <xf numFmtId="8" fontId="0" fillId="0" borderId="0" xfId="0" applyNumberFormat="1" applyAlignment="1"/>
    <xf numFmtId="0" fontId="2" fillId="0" borderId="0" xfId="41" applyFont="1" applyFill="1" applyAlignment="1" applyProtection="1"/>
    <xf numFmtId="8" fontId="45" fillId="33" borderId="0" xfId="0" applyNumberFormat="1" applyFont="1" applyFill="1"/>
    <xf numFmtId="9" fontId="0" fillId="38" borderId="0" xfId="0" applyNumberFormat="1" applyFill="1"/>
    <xf numFmtId="8" fontId="45" fillId="0" borderId="0" xfId="0" applyNumberFormat="1" applyFont="1" applyFill="1"/>
    <xf numFmtId="0" fontId="2" fillId="0" borderId="0" xfId="0" applyFont="1" applyAlignment="1">
      <alignment horizontal="left"/>
    </xf>
    <xf numFmtId="2" fontId="0" fillId="0" borderId="0" xfId="0" applyNumberFormat="1" applyFill="1"/>
    <xf numFmtId="8" fontId="0" fillId="33" borderId="0" xfId="0" applyNumberFormat="1" applyFill="1"/>
    <xf numFmtId="9" fontId="46" fillId="33" borderId="0" xfId="70" applyFont="1" applyFill="1"/>
    <xf numFmtId="8" fontId="45" fillId="33" borderId="0" xfId="69" applyNumberFormat="1" applyFont="1" applyFill="1"/>
    <xf numFmtId="0" fontId="0" fillId="39" borderId="0" xfId="0" applyFill="1"/>
    <xf numFmtId="0" fontId="55" fillId="39" borderId="0" xfId="0" applyFont="1" applyFill="1"/>
    <xf numFmtId="0" fontId="46" fillId="39" borderId="0" xfId="0" applyFont="1" applyFill="1"/>
    <xf numFmtId="1" fontId="46" fillId="39" borderId="0" xfId="0" applyNumberFormat="1" applyFont="1" applyFill="1" applyBorder="1"/>
    <xf numFmtId="168" fontId="46" fillId="39" borderId="0" xfId="0" applyNumberFormat="1" applyFont="1" applyFill="1"/>
    <xf numFmtId="44" fontId="46" fillId="39" borderId="0" xfId="0" applyNumberFormat="1" applyFont="1" applyFill="1"/>
    <xf numFmtId="1" fontId="46" fillId="39" borderId="0" xfId="0" applyNumberFormat="1" applyFont="1" applyFill="1"/>
    <xf numFmtId="8" fontId="45" fillId="39" borderId="0" xfId="0" applyNumberFormat="1" applyFont="1" applyFill="1"/>
    <xf numFmtId="0" fontId="33" fillId="39" borderId="0" xfId="0" applyFont="1" applyFill="1"/>
    <xf numFmtId="0" fontId="45" fillId="39" borderId="0" xfId="0" applyFont="1" applyFill="1"/>
    <xf numFmtId="183" fontId="46" fillId="39" borderId="0" xfId="0" applyNumberFormat="1" applyFont="1" applyFill="1"/>
    <xf numFmtId="170" fontId="33" fillId="39" borderId="0" xfId="0" applyNumberFormat="1" applyFont="1" applyFill="1" applyBorder="1"/>
    <xf numFmtId="0" fontId="53" fillId="39" borderId="0" xfId="0" applyFont="1" applyFill="1"/>
    <xf numFmtId="172" fontId="45" fillId="39" borderId="0" xfId="0" applyNumberFormat="1" applyFont="1" applyFill="1" applyBorder="1"/>
    <xf numFmtId="0" fontId="57" fillId="39" borderId="0" xfId="0" applyFont="1" applyFill="1"/>
    <xf numFmtId="0" fontId="0" fillId="0" borderId="35" xfId="0" applyFill="1" applyBorder="1"/>
    <xf numFmtId="0" fontId="0" fillId="0" borderId="35" xfId="0" applyBorder="1" applyAlignment="1">
      <alignment horizontal="left" indent="2"/>
    </xf>
    <xf numFmtId="185" fontId="0" fillId="0" borderId="0" xfId="0" applyNumberFormat="1"/>
    <xf numFmtId="184" fontId="46" fillId="0" borderId="0" xfId="0" applyNumberFormat="1" applyFont="1"/>
    <xf numFmtId="44" fontId="46" fillId="0" borderId="0" xfId="69" applyFont="1"/>
    <xf numFmtId="4" fontId="57" fillId="0" borderId="0" xfId="0" applyNumberFormat="1" applyFont="1" applyFill="1"/>
    <xf numFmtId="0" fontId="58" fillId="0" borderId="0" xfId="0" applyFont="1" applyFill="1" applyBorder="1" applyAlignment="1">
      <alignment horizontal="left"/>
    </xf>
    <xf numFmtId="0" fontId="45" fillId="0" borderId="0" xfId="0" applyFont="1" applyFill="1" applyBorder="1" applyAlignment="1">
      <alignment horizontal="left" wrapText="1" indent="2"/>
    </xf>
    <xf numFmtId="44" fontId="46" fillId="33" borderId="0" xfId="69" applyNumberFormat="1" applyFont="1" applyFill="1"/>
    <xf numFmtId="44" fontId="33" fillId="0" borderId="0" xfId="0" applyNumberFormat="1" applyFont="1" applyFill="1"/>
    <xf numFmtId="44" fontId="33" fillId="39" borderId="0" xfId="0" applyNumberFormat="1" applyFont="1" applyFill="1"/>
    <xf numFmtId="186" fontId="46" fillId="33" borderId="0" xfId="69" applyNumberFormat="1" applyFont="1" applyFill="1"/>
    <xf numFmtId="8" fontId="46" fillId="0" borderId="0" xfId="0" applyNumberFormat="1" applyFont="1"/>
    <xf numFmtId="6" fontId="33" fillId="0" borderId="0" xfId="0" applyNumberFormat="1" applyFont="1" applyFill="1"/>
    <xf numFmtId="170" fontId="67" fillId="37" borderId="0" xfId="0" applyNumberFormat="1" applyFont="1" applyFill="1"/>
    <xf numFmtId="0" fontId="67" fillId="0" borderId="0" xfId="0" applyFont="1" applyFill="1" applyAlignment="1">
      <alignment horizontal="left"/>
    </xf>
    <xf numFmtId="6" fontId="2" fillId="0" borderId="0" xfId="69" applyNumberFormat="1" applyFont="1"/>
    <xf numFmtId="1" fontId="46" fillId="0" borderId="0" xfId="0" applyNumberFormat="1" applyFont="1" applyFill="1" applyBorder="1"/>
    <xf numFmtId="0" fontId="0" fillId="0" borderId="0" xfId="0" applyFill="1" applyBorder="1"/>
    <xf numFmtId="0" fontId="33" fillId="0" borderId="0" xfId="0" applyFont="1" applyFill="1" applyBorder="1" applyAlignment="1">
      <alignment horizontal="left"/>
    </xf>
    <xf numFmtId="0" fontId="2" fillId="26" borderId="0" xfId="0" applyFont="1" applyFill="1"/>
    <xf numFmtId="169" fontId="0" fillId="0" borderId="0" xfId="0" applyNumberFormat="1" applyAlignment="1">
      <alignment horizontal="center"/>
    </xf>
    <xf numFmtId="2" fontId="45" fillId="0" borderId="0" xfId="0" applyNumberFormat="1" applyFont="1" applyFill="1"/>
    <xf numFmtId="0" fontId="45" fillId="0" borderId="0" xfId="0" applyFont="1" applyAlignment="1">
      <alignment horizontal="left" indent="3"/>
    </xf>
    <xf numFmtId="183" fontId="45" fillId="0" borderId="0" xfId="0" applyNumberFormat="1" applyFont="1" applyFill="1"/>
    <xf numFmtId="2" fontId="45" fillId="39" borderId="0" xfId="0" applyNumberFormat="1" applyFont="1" applyFill="1"/>
    <xf numFmtId="183" fontId="45" fillId="39" borderId="0" xfId="0" applyNumberFormat="1" applyFont="1" applyFill="1"/>
    <xf numFmtId="187" fontId="58" fillId="37" borderId="0" xfId="0" applyNumberFormat="1" applyFont="1" applyFill="1"/>
    <xf numFmtId="9" fontId="0" fillId="0" borderId="0" xfId="0" applyNumberFormat="1" applyFill="1"/>
    <xf numFmtId="6" fontId="45" fillId="0" borderId="0" xfId="0" applyNumberFormat="1" applyFont="1" applyFill="1"/>
    <xf numFmtId="183" fontId="46" fillId="0" borderId="0" xfId="0" applyNumberFormat="1" applyFont="1" applyBorder="1"/>
    <xf numFmtId="0" fontId="0" fillId="0" borderId="0" xfId="0" applyFont="1" applyFill="1" applyBorder="1" applyAlignment="1">
      <alignment horizontal="left" indent="2"/>
    </xf>
    <xf numFmtId="6" fontId="45" fillId="33" borderId="0" xfId="0" applyNumberFormat="1" applyFont="1" applyFill="1"/>
    <xf numFmtId="3" fontId="1" fillId="0" borderId="0" xfId="0" applyNumberFormat="1" applyFont="1"/>
    <xf numFmtId="0" fontId="2" fillId="0" borderId="0" xfId="72"/>
    <xf numFmtId="0" fontId="68" fillId="40" borderId="51" xfId="72" applyFont="1" applyFill="1" applyBorder="1" applyAlignment="1">
      <alignment horizontal="center" vertical="top" wrapText="1" readingOrder="1"/>
    </xf>
    <xf numFmtId="0" fontId="68" fillId="40" borderId="52" xfId="72" applyFont="1" applyFill="1" applyBorder="1" applyAlignment="1">
      <alignment horizontal="center" vertical="top" wrapText="1" readingOrder="1"/>
    </xf>
    <xf numFmtId="0" fontId="68" fillId="40" borderId="53" xfId="72" applyFont="1" applyFill="1" applyBorder="1" applyAlignment="1">
      <alignment horizontal="center" vertical="top" wrapText="1" readingOrder="1"/>
    </xf>
    <xf numFmtId="0" fontId="2" fillId="0" borderId="0" xfId="72" applyFont="1"/>
    <xf numFmtId="188" fontId="2" fillId="0" borderId="0" xfId="72" applyNumberFormat="1" applyFont="1"/>
    <xf numFmtId="2" fontId="0" fillId="0" borderId="0" xfId="0" applyNumberFormat="1" applyAlignment="1">
      <alignment horizontal="right"/>
    </xf>
    <xf numFmtId="6" fontId="46" fillId="0" borderId="0" xfId="0" applyNumberFormat="1" applyFont="1" applyFill="1"/>
    <xf numFmtId="182" fontId="33" fillId="0" borderId="0" xfId="0" applyNumberFormat="1" applyFont="1" applyFill="1"/>
    <xf numFmtId="182" fontId="33" fillId="39" borderId="0" xfId="0" applyNumberFormat="1" applyFont="1" applyFill="1"/>
    <xf numFmtId="6" fontId="33" fillId="39" borderId="0" xfId="0" applyNumberFormat="1" applyFont="1" applyFill="1"/>
    <xf numFmtId="0" fontId="2" fillId="0" borderId="0" xfId="0" applyFont="1" applyFill="1" applyBorder="1" applyAlignment="1">
      <alignment horizontal="left" indent="2"/>
    </xf>
    <xf numFmtId="0" fontId="5" fillId="41" borderId="0" xfId="0" applyFont="1" applyFill="1" applyAlignment="1">
      <alignment horizontal="center"/>
    </xf>
    <xf numFmtId="171" fontId="0" fillId="0" borderId="0" xfId="0" applyNumberFormat="1"/>
    <xf numFmtId="189" fontId="45" fillId="33" borderId="0" xfId="0" applyNumberFormat="1" applyFont="1" applyFill="1"/>
    <xf numFmtId="44" fontId="0" fillId="0" borderId="0" xfId="69" applyFont="1" applyFill="1"/>
    <xf numFmtId="8" fontId="0" fillId="0" borderId="0" xfId="0" applyNumberFormat="1" applyFill="1"/>
    <xf numFmtId="8" fontId="57" fillId="0" borderId="0" xfId="0" applyNumberFormat="1" applyFont="1" applyFill="1"/>
    <xf numFmtId="44" fontId="57" fillId="0" borderId="0" xfId="0" applyNumberFormat="1" applyFont="1" applyFill="1"/>
    <xf numFmtId="0" fontId="69" fillId="0" borderId="0" xfId="0" applyFont="1"/>
    <xf numFmtId="8" fontId="46" fillId="0" borderId="0" xfId="0" applyNumberFormat="1" applyFont="1" applyFill="1"/>
    <xf numFmtId="8" fontId="57" fillId="42" borderId="0" xfId="0" applyNumberFormat="1" applyFont="1" applyFill="1"/>
    <xf numFmtId="8" fontId="46" fillId="42" borderId="0" xfId="0" applyNumberFormat="1" applyFont="1" applyFill="1"/>
    <xf numFmtId="0" fontId="46" fillId="42" borderId="0" xfId="0" applyFont="1" applyFill="1"/>
    <xf numFmtId="44" fontId="46" fillId="42" borderId="0" xfId="0" applyNumberFormat="1" applyFont="1" applyFill="1"/>
    <xf numFmtId="0" fontId="45" fillId="42" borderId="0" xfId="0" applyFont="1" applyFill="1"/>
    <xf numFmtId="0" fontId="0" fillId="43" borderId="0" xfId="0" applyFill="1" applyBorder="1" applyAlignment="1">
      <alignment horizontal="center"/>
    </xf>
    <xf numFmtId="0" fontId="0" fillId="43" borderId="0" xfId="0" applyFill="1" applyAlignment="1">
      <alignment horizontal="center"/>
    </xf>
    <xf numFmtId="0" fontId="0" fillId="43" borderId="0" xfId="0" applyFill="1"/>
    <xf numFmtId="6" fontId="2" fillId="43" borderId="0" xfId="69" applyNumberFormat="1" applyFont="1" applyFill="1"/>
    <xf numFmtId="0" fontId="55" fillId="43" borderId="0" xfId="0" applyFont="1" applyFill="1"/>
    <xf numFmtId="0" fontId="46" fillId="43" borderId="0" xfId="0" applyFont="1" applyFill="1"/>
    <xf numFmtId="1" fontId="46" fillId="43" borderId="0" xfId="0" applyNumberFormat="1" applyFont="1" applyFill="1" applyBorder="1"/>
    <xf numFmtId="168" fontId="46" fillId="43" borderId="0" xfId="0" applyNumberFormat="1" applyFont="1" applyFill="1"/>
    <xf numFmtId="184" fontId="46" fillId="43" borderId="0" xfId="0" applyNumberFormat="1" applyFont="1" applyFill="1"/>
    <xf numFmtId="44" fontId="46" fillId="43" borderId="0" xfId="69" applyFont="1" applyFill="1"/>
    <xf numFmtId="1" fontId="46" fillId="43" borderId="0" xfId="0" applyNumberFormat="1" applyFont="1" applyFill="1"/>
    <xf numFmtId="182" fontId="33" fillId="43" borderId="0" xfId="0" applyNumberFormat="1" applyFont="1" applyFill="1"/>
    <xf numFmtId="2" fontId="45" fillId="43" borderId="0" xfId="0" applyNumberFormat="1" applyFont="1" applyFill="1"/>
    <xf numFmtId="8" fontId="45" fillId="43" borderId="0" xfId="0" applyNumberFormat="1" applyFont="1" applyFill="1"/>
    <xf numFmtId="6" fontId="33" fillId="43" borderId="0" xfId="0" applyNumberFormat="1" applyFont="1" applyFill="1"/>
    <xf numFmtId="44" fontId="46" fillId="43" borderId="0" xfId="0" applyNumberFormat="1" applyFont="1" applyFill="1"/>
    <xf numFmtId="44" fontId="33" fillId="43" borderId="0" xfId="0" applyNumberFormat="1" applyFont="1" applyFill="1"/>
    <xf numFmtId="183" fontId="45" fillId="43" borderId="0" xfId="0" applyNumberFormat="1" applyFont="1" applyFill="1"/>
    <xf numFmtId="183" fontId="46" fillId="43" borderId="0" xfId="0" applyNumberFormat="1" applyFont="1" applyFill="1" applyBorder="1"/>
    <xf numFmtId="0" fontId="33" fillId="43" borderId="0" xfId="0" applyFont="1" applyFill="1"/>
    <xf numFmtId="0" fontId="45" fillId="43" borderId="0" xfId="0" applyFont="1" applyFill="1"/>
    <xf numFmtId="183" fontId="46" fillId="43" borderId="0" xfId="0" applyNumberFormat="1" applyFont="1" applyFill="1"/>
    <xf numFmtId="170" fontId="33" fillId="43" borderId="0" xfId="0" applyNumberFormat="1" applyFont="1" applyFill="1" applyBorder="1"/>
    <xf numFmtId="8" fontId="46" fillId="43" borderId="0" xfId="0" applyNumberFormat="1" applyFont="1" applyFill="1"/>
    <xf numFmtId="169" fontId="46" fillId="43" borderId="0" xfId="0" applyNumberFormat="1" applyFont="1" applyFill="1" applyBorder="1"/>
    <xf numFmtId="170" fontId="46" fillId="43" borderId="0" xfId="0" applyNumberFormat="1" applyFont="1" applyFill="1" applyBorder="1"/>
    <xf numFmtId="6" fontId="46" fillId="43" borderId="0" xfId="0" applyNumberFormat="1" applyFont="1" applyFill="1"/>
    <xf numFmtId="6" fontId="45" fillId="43" borderId="0" xfId="0" applyNumberFormat="1" applyFont="1" applyFill="1"/>
    <xf numFmtId="0" fontId="53" fillId="43" borderId="0" xfId="0" applyFont="1" applyFill="1"/>
    <xf numFmtId="172" fontId="45" fillId="43" borderId="0" xfId="0" applyNumberFormat="1" applyFont="1" applyFill="1" applyBorder="1"/>
    <xf numFmtId="170" fontId="56" fillId="43" borderId="0" xfId="0" applyNumberFormat="1" applyFont="1" applyFill="1" applyBorder="1"/>
    <xf numFmtId="0" fontId="57" fillId="43" borderId="0" xfId="0" applyFont="1" applyFill="1"/>
    <xf numFmtId="8" fontId="57" fillId="43" borderId="0" xfId="0" applyNumberFormat="1" applyFont="1" applyFill="1"/>
    <xf numFmtId="44" fontId="57" fillId="43" borderId="0" xfId="0" applyNumberFormat="1" applyFont="1" applyFill="1"/>
    <xf numFmtId="6" fontId="46" fillId="0" borderId="0" xfId="0" applyNumberFormat="1" applyFont="1"/>
    <xf numFmtId="182" fontId="46" fillId="0" borderId="0" xfId="0" applyNumberFormat="1" applyFont="1"/>
    <xf numFmtId="170" fontId="46" fillId="0" borderId="0" xfId="0" applyNumberFormat="1" applyFont="1"/>
    <xf numFmtId="182" fontId="70" fillId="0" borderId="0" xfId="0" applyNumberFormat="1" applyFont="1"/>
    <xf numFmtId="166" fontId="0" fillId="43" borderId="0" xfId="0" applyNumberFormat="1" applyFill="1"/>
    <xf numFmtId="0" fontId="3" fillId="0" borderId="54" xfId="0" applyFont="1" applyFill="1" applyBorder="1" applyAlignment="1">
      <alignment horizontal="left" vertical="center"/>
    </xf>
    <xf numFmtId="37" fontId="3" fillId="0" borderId="55" xfId="0" applyNumberFormat="1" applyFont="1" applyBorder="1" applyAlignment="1">
      <alignment horizontal="center" vertical="center"/>
    </xf>
    <xf numFmtId="37" fontId="3" fillId="0" borderId="35" xfId="0" applyNumberFormat="1" applyFont="1" applyBorder="1" applyAlignment="1">
      <alignment horizontal="center" vertical="center"/>
    </xf>
    <xf numFmtId="37" fontId="3" fillId="0" borderId="56" xfId="0" applyNumberFormat="1" applyFont="1" applyBorder="1" applyAlignment="1">
      <alignment horizontal="center" vertical="center"/>
    </xf>
    <xf numFmtId="37" fontId="3" fillId="0" borderId="0" xfId="0" applyNumberFormat="1" applyFont="1" applyAlignment="1">
      <alignment horizontal="right" vertical="center"/>
    </xf>
    <xf numFmtId="0" fontId="3" fillId="0" borderId="0" xfId="0" applyFont="1" applyAlignment="1">
      <alignment horizontal="right" vertical="center"/>
    </xf>
    <xf numFmtId="10" fontId="0" fillId="0" borderId="0" xfId="70" applyNumberFormat="1" applyFont="1" applyAlignment="1">
      <alignment horizontal="center"/>
    </xf>
    <xf numFmtId="2" fontId="0" fillId="0" borderId="0" xfId="70" applyNumberFormat="1" applyFont="1"/>
    <xf numFmtId="168" fontId="0" fillId="0" borderId="0" xfId="70" applyNumberFormat="1" applyFont="1"/>
    <xf numFmtId="1" fontId="45" fillId="0" borderId="0" xfId="0" applyNumberFormat="1" applyFont="1" applyBorder="1"/>
    <xf numFmtId="0" fontId="52" fillId="33" borderId="57" xfId="71" applyFont="1" applyFill="1" applyBorder="1" applyAlignment="1"/>
    <xf numFmtId="3" fontId="52" fillId="33" borderId="57" xfId="71" applyNumberFormat="1" applyFont="1" applyFill="1" applyBorder="1" applyAlignment="1">
      <alignment horizontal="right"/>
    </xf>
    <xf numFmtId="6" fontId="2" fillId="39" borderId="0" xfId="69" applyNumberFormat="1" applyFont="1" applyFill="1"/>
    <xf numFmtId="184" fontId="46" fillId="39" borderId="0" xfId="0" applyNumberFormat="1" applyFont="1" applyFill="1"/>
    <xf numFmtId="44" fontId="46" fillId="39" borderId="0" xfId="69" applyFont="1" applyFill="1"/>
    <xf numFmtId="183" fontId="46" fillId="39" borderId="0" xfId="0" applyNumberFormat="1" applyFont="1" applyFill="1" applyBorder="1"/>
    <xf numFmtId="8" fontId="46" fillId="39" borderId="0" xfId="0" applyNumberFormat="1" applyFont="1" applyFill="1"/>
    <xf numFmtId="169" fontId="46" fillId="39" borderId="0" xfId="0" applyNumberFormat="1" applyFont="1" applyFill="1" applyBorder="1"/>
    <xf numFmtId="170" fontId="46" fillId="39" borderId="0" xfId="0" applyNumberFormat="1" applyFont="1" applyFill="1" applyBorder="1"/>
    <xf numFmtId="6" fontId="46" fillId="39" borderId="0" xfId="0" applyNumberFormat="1" applyFont="1" applyFill="1"/>
    <xf numFmtId="6" fontId="45" fillId="39" borderId="0" xfId="0" applyNumberFormat="1" applyFont="1" applyFill="1"/>
    <xf numFmtId="170" fontId="56" fillId="39" borderId="0" xfId="0" applyNumberFormat="1" applyFont="1" applyFill="1" applyBorder="1"/>
    <xf numFmtId="37" fontId="0" fillId="38" borderId="0" xfId="0" applyNumberFormat="1" applyFill="1"/>
    <xf numFmtId="185" fontId="2" fillId="0" borderId="0" xfId="0" applyNumberFormat="1" applyFont="1"/>
    <xf numFmtId="0" fontId="0" fillId="33" borderId="0" xfId="0" applyFill="1" applyAlignment="1"/>
    <xf numFmtId="0" fontId="3" fillId="33" borderId="54" xfId="0" applyFont="1" applyFill="1" applyBorder="1" applyAlignment="1">
      <alignment horizontal="left" vertical="center"/>
    </xf>
    <xf numFmtId="37" fontId="3" fillId="38" borderId="55" xfId="0" applyNumberFormat="1" applyFont="1" applyFill="1" applyBorder="1" applyAlignment="1">
      <alignment horizontal="center" vertical="center"/>
    </xf>
    <xf numFmtId="37" fontId="3" fillId="38" borderId="35" xfId="0" applyNumberFormat="1" applyFont="1" applyFill="1" applyBorder="1" applyAlignment="1">
      <alignment horizontal="center" vertical="center"/>
    </xf>
    <xf numFmtId="37" fontId="3" fillId="38" borderId="56" xfId="0" applyNumberFormat="1" applyFont="1" applyFill="1" applyBorder="1" applyAlignment="1">
      <alignment horizontal="center" vertical="center"/>
    </xf>
    <xf numFmtId="0" fontId="3" fillId="38" borderId="54" xfId="0" applyFont="1" applyFill="1" applyBorder="1" applyAlignment="1">
      <alignment horizontal="left" vertical="center"/>
    </xf>
    <xf numFmtId="0" fontId="72" fillId="0" borderId="6" xfId="0" applyFont="1" applyFill="1" applyBorder="1"/>
    <xf numFmtId="0" fontId="73" fillId="0" borderId="6" xfId="0" applyFont="1" applyFill="1" applyBorder="1"/>
    <xf numFmtId="0" fontId="73" fillId="0" borderId="6" xfId="0" applyFont="1" applyFill="1" applyBorder="1" applyAlignment="1">
      <alignment horizontal="left" indent="1"/>
    </xf>
    <xf numFmtId="0" fontId="73" fillId="0" borderId="35" xfId="0" applyFont="1" applyFill="1" applyBorder="1" applyAlignment="1">
      <alignment horizontal="left" indent="1"/>
    </xf>
    <xf numFmtId="44" fontId="0" fillId="0" borderId="0" xfId="0" applyNumberFormat="1" applyFill="1"/>
    <xf numFmtId="6" fontId="0" fillId="0" borderId="0" xfId="0" applyNumberFormat="1" applyFill="1"/>
    <xf numFmtId="43" fontId="0" fillId="0" borderId="0" xfId="0" applyNumberFormat="1" applyFill="1"/>
    <xf numFmtId="0" fontId="33" fillId="37" borderId="0" xfId="0" applyFont="1" applyFill="1"/>
    <xf numFmtId="8" fontId="33" fillId="0" borderId="0" xfId="0" applyNumberFormat="1" applyFont="1" applyFill="1"/>
    <xf numFmtId="8" fontId="33" fillId="39" borderId="0" xfId="0" applyNumberFormat="1" applyFont="1" applyFill="1"/>
    <xf numFmtId="8" fontId="33" fillId="43" borderId="0" xfId="0" applyNumberFormat="1" applyFont="1" applyFill="1"/>
    <xf numFmtId="0" fontId="10" fillId="0" borderId="0" xfId="0" applyFont="1" applyFill="1" applyBorder="1" applyAlignment="1">
      <alignment horizontal="right" vertical="top" wrapText="1"/>
    </xf>
    <xf numFmtId="6" fontId="0" fillId="44" borderId="0" xfId="0" applyNumberFormat="1" applyFill="1"/>
    <xf numFmtId="6" fontId="2" fillId="44" borderId="0" xfId="0" applyNumberFormat="1" applyFont="1" applyFill="1"/>
    <xf numFmtId="6" fontId="0" fillId="36" borderId="0" xfId="0" applyNumberFormat="1" applyFill="1"/>
    <xf numFmtId="6" fontId="5" fillId="0" borderId="35" xfId="0" applyNumberFormat="1" applyFont="1" applyFill="1" applyBorder="1"/>
    <xf numFmtId="0" fontId="5" fillId="0" borderId="35" xfId="0" applyFont="1" applyBorder="1"/>
    <xf numFmtId="6" fontId="71" fillId="0" borderId="35" xfId="0" applyNumberFormat="1" applyFont="1" applyBorder="1"/>
    <xf numFmtId="180" fontId="71" fillId="0" borderId="35" xfId="0" applyNumberFormat="1" applyFont="1" applyBorder="1"/>
    <xf numFmtId="183" fontId="71" fillId="0" borderId="35" xfId="0" applyNumberFormat="1" applyFont="1" applyBorder="1"/>
    <xf numFmtId="44" fontId="45" fillId="0" borderId="0" xfId="0" applyNumberFormat="1" applyFont="1" applyFill="1"/>
    <xf numFmtId="6" fontId="10" fillId="0" borderId="0" xfId="0" applyNumberFormat="1" applyFont="1" applyFill="1"/>
    <xf numFmtId="182" fontId="10" fillId="0" borderId="0" xfId="0" applyNumberFormat="1" applyFont="1" applyFill="1"/>
    <xf numFmtId="190" fontId="10" fillId="0" borderId="0" xfId="0" applyNumberFormat="1" applyFont="1" applyFill="1"/>
    <xf numFmtId="0" fontId="72" fillId="45" borderId="6" xfId="0" applyFont="1" applyFill="1" applyBorder="1"/>
    <xf numFmtId="6" fontId="72" fillId="45" borderId="35" xfId="0" applyNumberFormat="1" applyFont="1" applyFill="1" applyBorder="1"/>
    <xf numFmtId="0" fontId="73" fillId="45" borderId="6" xfId="0" applyFont="1" applyFill="1" applyBorder="1" applyAlignment="1">
      <alignment horizontal="left" indent="1"/>
    </xf>
    <xf numFmtId="6" fontId="73" fillId="45" borderId="35" xfId="0" applyNumberFormat="1" applyFont="1" applyFill="1" applyBorder="1"/>
    <xf numFmtId="0" fontId="73" fillId="45" borderId="35" xfId="0" applyFont="1" applyFill="1" applyBorder="1" applyAlignment="1">
      <alignment horizontal="left" indent="1"/>
    </xf>
    <xf numFmtId="0" fontId="73" fillId="45" borderId="6" xfId="0" applyFont="1" applyFill="1" applyBorder="1"/>
    <xf numFmtId="10" fontId="72" fillId="45" borderId="35" xfId="70" applyNumberFormat="1" applyFont="1" applyFill="1" applyBorder="1"/>
    <xf numFmtId="2" fontId="72" fillId="45" borderId="35" xfId="0" applyNumberFormat="1" applyFont="1" applyFill="1" applyBorder="1"/>
    <xf numFmtId="0" fontId="73" fillId="45" borderId="58" xfId="0" applyFont="1" applyFill="1" applyBorder="1" applyAlignment="1">
      <alignment wrapText="1"/>
    </xf>
    <xf numFmtId="185" fontId="46" fillId="0" borderId="0" xfId="0" applyNumberFormat="1" applyFont="1"/>
    <xf numFmtId="182" fontId="46" fillId="0" borderId="0" xfId="69" applyNumberFormat="1" applyFont="1"/>
    <xf numFmtId="182" fontId="46" fillId="39" borderId="0" xfId="69" applyNumberFormat="1" applyFont="1" applyFill="1"/>
    <xf numFmtId="185" fontId="46" fillId="39" borderId="0" xfId="0" applyNumberFormat="1" applyFont="1" applyFill="1"/>
    <xf numFmtId="0" fontId="73" fillId="45" borderId="0" xfId="0" applyFont="1" applyFill="1" applyBorder="1"/>
    <xf numFmtId="9" fontId="73" fillId="45" borderId="0" xfId="0" applyNumberFormat="1" applyFont="1" applyFill="1" applyBorder="1"/>
    <xf numFmtId="0" fontId="72" fillId="45" borderId="35" xfId="0" applyFont="1" applyFill="1" applyBorder="1"/>
    <xf numFmtId="10" fontId="0" fillId="46" borderId="0" xfId="70" applyNumberFormat="1" applyFont="1" applyFill="1"/>
    <xf numFmtId="0" fontId="0" fillId="46" borderId="0" xfId="0" applyFill="1"/>
    <xf numFmtId="9" fontId="45" fillId="33" borderId="0" xfId="70" applyFont="1" applyFill="1"/>
    <xf numFmtId="0" fontId="45" fillId="0" borderId="0" xfId="0" applyFont="1" applyFill="1" applyAlignment="1">
      <alignment horizontal="left" indent="1"/>
    </xf>
    <xf numFmtId="0" fontId="45" fillId="0" borderId="0" xfId="0" applyFont="1" applyFill="1" applyBorder="1" applyAlignment="1">
      <alignment horizontal="left" indent="1"/>
    </xf>
    <xf numFmtId="191" fontId="45" fillId="0" borderId="0" xfId="0" applyNumberFormat="1" applyFont="1" applyFill="1"/>
    <xf numFmtId="192" fontId="45" fillId="0" borderId="0" xfId="0" applyNumberFormat="1" applyFont="1" applyFill="1"/>
    <xf numFmtId="1" fontId="45" fillId="0" borderId="0" xfId="0" applyNumberFormat="1" applyFont="1" applyFill="1"/>
    <xf numFmtId="9" fontId="74" fillId="45" borderId="58" xfId="0" applyNumberFormat="1" applyFont="1" applyFill="1" applyBorder="1" applyAlignment="1">
      <alignment textRotation="45" wrapText="1"/>
    </xf>
    <xf numFmtId="0" fontId="7" fillId="45" borderId="59" xfId="0" applyFont="1" applyFill="1" applyBorder="1"/>
    <xf numFmtId="0" fontId="0" fillId="45" borderId="59" xfId="0" applyFill="1" applyBorder="1"/>
    <xf numFmtId="0" fontId="45" fillId="27" borderId="0" xfId="0" applyFont="1" applyFill="1" applyBorder="1" applyAlignment="1">
      <alignment horizontal="center"/>
    </xf>
    <xf numFmtId="0" fontId="45" fillId="27" borderId="0" xfId="0" applyFont="1" applyFill="1" applyAlignment="1">
      <alignment horizontal="center"/>
    </xf>
    <xf numFmtId="6" fontId="45" fillId="0" borderId="0" xfId="0" applyNumberFormat="1" applyFont="1"/>
    <xf numFmtId="8" fontId="46" fillId="47" borderId="0" xfId="0" applyNumberFormat="1" applyFont="1" applyFill="1"/>
    <xf numFmtId="8" fontId="46" fillId="48" borderId="0" xfId="0" applyNumberFormat="1" applyFont="1" applyFill="1"/>
    <xf numFmtId="8" fontId="0" fillId="48" borderId="0" xfId="0" applyNumberFormat="1" applyFill="1"/>
    <xf numFmtId="0" fontId="46" fillId="47" borderId="0" xfId="0" applyFont="1" applyFill="1"/>
    <xf numFmtId="6" fontId="2" fillId="47" borderId="0" xfId="0" applyNumberFormat="1" applyFont="1" applyFill="1"/>
    <xf numFmtId="6" fontId="0" fillId="47" borderId="0" xfId="0" applyNumberFormat="1" applyFill="1"/>
    <xf numFmtId="6" fontId="0" fillId="43" borderId="0" xfId="0" applyNumberFormat="1" applyFill="1"/>
    <xf numFmtId="168" fontId="69" fillId="0" borderId="0" xfId="0" applyNumberFormat="1" applyFont="1"/>
    <xf numFmtId="2" fontId="5" fillId="0" borderId="0" xfId="0" applyNumberFormat="1" applyFont="1"/>
    <xf numFmtId="0" fontId="5" fillId="0" borderId="0" xfId="0" applyFont="1" applyFill="1" applyBorder="1"/>
    <xf numFmtId="191" fontId="45" fillId="33" borderId="0" xfId="0" applyNumberFormat="1" applyFont="1" applyFill="1"/>
    <xf numFmtId="0" fontId="7" fillId="0" borderId="35" xfId="0" applyFont="1" applyFill="1" applyBorder="1" applyAlignment="1">
      <alignment horizontal="right" vertical="top" wrapText="1"/>
    </xf>
    <xf numFmtId="172" fontId="76" fillId="0" borderId="0" xfId="0" applyNumberFormat="1" applyFont="1" applyFill="1" applyBorder="1"/>
    <xf numFmtId="6" fontId="0" fillId="33" borderId="0" xfId="0" applyNumberFormat="1" applyFill="1"/>
    <xf numFmtId="0" fontId="0" fillId="0" borderId="59" xfId="0" applyBorder="1"/>
    <xf numFmtId="0" fontId="78" fillId="0" borderId="0" xfId="0" applyFont="1"/>
    <xf numFmtId="0" fontId="72" fillId="0" borderId="35" xfId="0" applyFont="1" applyFill="1" applyBorder="1"/>
    <xf numFmtId="10" fontId="5" fillId="0" borderId="35" xfId="0" applyNumberFormat="1" applyFont="1" applyFill="1" applyBorder="1"/>
    <xf numFmtId="0" fontId="5" fillId="0" borderId="35" xfId="0" applyFont="1" applyFill="1" applyBorder="1"/>
    <xf numFmtId="2" fontId="5" fillId="0" borderId="35" xfId="0" applyNumberFormat="1" applyFont="1" applyFill="1" applyBorder="1"/>
    <xf numFmtId="0" fontId="2" fillId="0" borderId="35" xfId="0" applyFont="1" applyFill="1" applyBorder="1"/>
    <xf numFmtId="0" fontId="2" fillId="0" borderId="35" xfId="0" applyFont="1" applyFill="1" applyBorder="1" applyAlignment="1">
      <alignment horizontal="left"/>
    </xf>
    <xf numFmtId="0" fontId="77" fillId="0" borderId="35" xfId="0" applyFont="1" applyFill="1" applyBorder="1"/>
    <xf numFmtId="0" fontId="79" fillId="0" borderId="35" xfId="0" applyFont="1" applyFill="1" applyBorder="1" applyAlignment="1">
      <alignment horizontal="left"/>
    </xf>
    <xf numFmtId="0" fontId="77" fillId="33" borderId="35" xfId="0" applyFont="1" applyFill="1" applyBorder="1"/>
    <xf numFmtId="0" fontId="79" fillId="0" borderId="35" xfId="0" applyFont="1" applyBorder="1" applyAlignment="1">
      <alignment horizontal="center" wrapText="1"/>
    </xf>
    <xf numFmtId="0" fontId="79" fillId="0" borderId="0" xfId="0" applyFont="1" applyFill="1" applyBorder="1" applyAlignment="1">
      <alignment horizontal="left"/>
    </xf>
    <xf numFmtId="1" fontId="2" fillId="0" borderId="35" xfId="0" applyNumberFormat="1" applyFont="1" applyBorder="1"/>
    <xf numFmtId="0" fontId="5" fillId="33" borderId="35" xfId="0" applyFont="1" applyFill="1" applyBorder="1"/>
    <xf numFmtId="0" fontId="2" fillId="33" borderId="35" xfId="0" applyFont="1" applyFill="1" applyBorder="1"/>
    <xf numFmtId="185" fontId="2" fillId="0" borderId="35" xfId="0" applyNumberFormat="1" applyFont="1" applyBorder="1"/>
    <xf numFmtId="182" fontId="2" fillId="0" borderId="35" xfId="69" applyNumberFormat="1" applyFont="1" applyBorder="1"/>
    <xf numFmtId="164" fontId="0" fillId="0" borderId="35" xfId="29" applyNumberFormat="1" applyFont="1" applyBorder="1"/>
    <xf numFmtId="1" fontId="0" fillId="33" borderId="35" xfId="0" applyNumberFormat="1" applyFill="1" applyBorder="1"/>
    <xf numFmtId="38" fontId="2" fillId="0" borderId="35" xfId="29" applyNumberFormat="1" applyFont="1" applyBorder="1"/>
    <xf numFmtId="0" fontId="77" fillId="0" borderId="35" xfId="0" applyFont="1" applyFill="1" applyBorder="1" applyAlignment="1">
      <alignment horizontal="center" wrapText="1"/>
    </xf>
    <xf numFmtId="164" fontId="5" fillId="0" borderId="35" xfId="29" applyNumberFormat="1" applyFont="1" applyBorder="1"/>
    <xf numFmtId="1" fontId="5" fillId="33" borderId="35" xfId="0" applyNumberFormat="1" applyFont="1" applyFill="1" applyBorder="1"/>
    <xf numFmtId="38" fontId="5" fillId="0" borderId="35" xfId="29" applyNumberFormat="1" applyFont="1" applyBorder="1"/>
    <xf numFmtId="182" fontId="5" fillId="0" borderId="35" xfId="69" applyNumberFormat="1" applyFont="1" applyBorder="1"/>
    <xf numFmtId="9" fontId="74" fillId="45" borderId="47" xfId="0" applyNumberFormat="1" applyFont="1" applyFill="1" applyBorder="1" applyAlignment="1">
      <alignment vertical="top" wrapText="1"/>
    </xf>
    <xf numFmtId="0" fontId="0" fillId="0" borderId="58" xfId="0" applyBorder="1" applyAlignment="1">
      <alignment vertical="top" wrapText="1"/>
    </xf>
    <xf numFmtId="0" fontId="38" fillId="23" borderId="20" xfId="0" applyFont="1" applyFill="1" applyBorder="1" applyAlignment="1">
      <alignment horizontal="center" vertical="center" wrapText="1"/>
    </xf>
    <xf numFmtId="0" fontId="38" fillId="23" borderId="22" xfId="0" applyFont="1" applyFill="1" applyBorder="1" applyAlignment="1">
      <alignment horizontal="center" vertical="center" wrapText="1"/>
    </xf>
    <xf numFmtId="0" fontId="38" fillId="23" borderId="21" xfId="0" applyFont="1" applyFill="1" applyBorder="1" applyAlignment="1">
      <alignment horizontal="center" vertical="center"/>
    </xf>
    <xf numFmtId="0" fontId="3" fillId="23" borderId="0" xfId="0" applyFont="1" applyFill="1" applyBorder="1" applyAlignment="1">
      <alignment horizontal="center" vertical="center"/>
    </xf>
    <xf numFmtId="0" fontId="3" fillId="23" borderId="20" xfId="0" applyFont="1" applyFill="1" applyBorder="1" applyAlignment="1">
      <alignment horizontal="center" vertical="center"/>
    </xf>
    <xf numFmtId="0" fontId="65" fillId="0" borderId="0" xfId="0" applyFont="1" applyAlignment="1">
      <alignment horizontal="center"/>
    </xf>
    <xf numFmtId="0" fontId="2" fillId="23" borderId="0" xfId="0" applyFont="1" applyFill="1" applyBorder="1" applyAlignment="1">
      <alignment horizontal="center" vertical="center"/>
    </xf>
    <xf numFmtId="0" fontId="2" fillId="23" borderId="20" xfId="0" applyFont="1" applyFill="1" applyBorder="1" applyAlignment="1">
      <alignment horizontal="center" vertical="center"/>
    </xf>
    <xf numFmtId="0" fontId="5" fillId="23" borderId="22" xfId="0" applyFont="1" applyFill="1" applyBorder="1" applyAlignment="1">
      <alignment horizontal="center" vertical="center" wrapText="1"/>
    </xf>
    <xf numFmtId="0" fontId="38" fillId="23" borderId="21" xfId="0" applyFont="1" applyFill="1" applyBorder="1" applyAlignment="1">
      <alignment horizontal="center" vertical="center" wrapText="1"/>
    </xf>
    <xf numFmtId="0" fontId="2" fillId="23" borderId="0" xfId="0" applyFont="1" applyFill="1" applyBorder="1" applyAlignment="1">
      <alignment horizontal="center" vertical="center" wrapText="1"/>
    </xf>
    <xf numFmtId="0" fontId="2" fillId="23" borderId="20" xfId="0" applyFont="1" applyFill="1" applyBorder="1" applyAlignment="1">
      <alignment horizontal="center" vertical="center" wrapText="1"/>
    </xf>
    <xf numFmtId="0" fontId="38" fillId="23" borderId="0" xfId="0" applyFont="1" applyFill="1" applyBorder="1" applyAlignment="1">
      <alignment horizontal="center" vertical="center"/>
    </xf>
    <xf numFmtId="0" fontId="2" fillId="23" borderId="0" xfId="0" applyFont="1" applyFill="1" applyAlignment="1">
      <alignment horizontal="center" vertical="center"/>
    </xf>
    <xf numFmtId="0" fontId="38" fillId="23" borderId="25" xfId="0" applyFont="1" applyFill="1" applyBorder="1" applyAlignment="1">
      <alignment horizontal="center" vertical="center" wrapText="1"/>
    </xf>
    <xf numFmtId="0" fontId="2" fillId="23" borderId="17" xfId="0" applyFont="1" applyFill="1" applyBorder="1" applyAlignment="1">
      <alignment horizontal="center" vertical="center" wrapText="1"/>
    </xf>
    <xf numFmtId="0" fontId="2" fillId="23" borderId="26" xfId="0" applyFont="1" applyFill="1" applyBorder="1" applyAlignment="1">
      <alignment horizontal="center" vertical="center" wrapText="1"/>
    </xf>
    <xf numFmtId="2" fontId="0" fillId="33" borderId="0" xfId="0" applyNumberFormat="1" applyFill="1"/>
    <xf numFmtId="0" fontId="0" fillId="44" borderId="60" xfId="0" applyFill="1" applyBorder="1"/>
    <xf numFmtId="0" fontId="0" fillId="44" borderId="61" xfId="0" applyFill="1" applyBorder="1"/>
    <xf numFmtId="0" fontId="0" fillId="44" borderId="62" xfId="0" applyFill="1" applyBorder="1"/>
    <xf numFmtId="0" fontId="0" fillId="44" borderId="63" xfId="0" applyFill="1" applyBorder="1"/>
    <xf numFmtId="0" fontId="0" fillId="44" borderId="64" xfId="0" applyFill="1" applyBorder="1"/>
    <xf numFmtId="2" fontId="5" fillId="0" borderId="35" xfId="0" applyNumberFormat="1" applyFont="1" applyBorder="1"/>
    <xf numFmtId="0" fontId="0" fillId="44" borderId="50" xfId="0" applyFill="1" applyBorder="1"/>
    <xf numFmtId="0" fontId="0" fillId="44" borderId="65" xfId="0" applyFill="1" applyBorder="1"/>
  </cellXfs>
  <cellStyles count="7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Arial 11" xfId="25"/>
    <cellStyle name="Bad" xfId="26" builtinId="27" customBuiltin="1"/>
    <cellStyle name="Calculation" xfId="27" builtinId="22" customBuiltin="1"/>
    <cellStyle name="Check Cell" xfId="28" builtinId="23" customBuiltin="1"/>
    <cellStyle name="Comma" xfId="29" builtinId="3"/>
    <cellStyle name="Comma." xfId="30"/>
    <cellStyle name="Currency" xfId="69" builtinId="4"/>
    <cellStyle name="Currency." xfId="31"/>
    <cellStyle name="Currency.00" xfId="32"/>
    <cellStyle name="Euro" xfId="33"/>
    <cellStyle name="Explanatory Text" xfId="34" builtinId="53" customBuiltin="1"/>
    <cellStyle name="Good" xfId="35" builtinId="26" customBuiltin="1"/>
    <cellStyle name="Grey" xfId="36"/>
    <cellStyle name="Heading 1" xfId="37" builtinId="16" customBuiltin="1"/>
    <cellStyle name="Heading 2" xfId="38" builtinId="17" customBuiltin="1"/>
    <cellStyle name="Heading 3" xfId="39" builtinId="18" customBuiltin="1"/>
    <cellStyle name="Heading 4" xfId="40" builtinId="19" customBuiltin="1"/>
    <cellStyle name="Hyperlink" xfId="41" builtinId="8"/>
    <cellStyle name="Input" xfId="42" builtinId="20" customBuiltin="1"/>
    <cellStyle name="Input [yellow]" xfId="43"/>
    <cellStyle name="Linked Cell" xfId="44" builtinId="24" customBuiltin="1"/>
    <cellStyle name="Millares [0]_laroux" xfId="45"/>
    <cellStyle name="Millares_laroux" xfId="46"/>
    <cellStyle name="Moneda [0]_laroux" xfId="47"/>
    <cellStyle name="Moneda_laroux" xfId="48"/>
    <cellStyle name="Neutral" xfId="49" builtinId="28" customBuiltin="1"/>
    <cellStyle name="no dec" xfId="50"/>
    <cellStyle name="Normal" xfId="0" builtinId="0"/>
    <cellStyle name="Normal - Style1" xfId="51"/>
    <cellStyle name="Normal 2" xfId="72"/>
    <cellStyle name="Normal_All Day Access _Absolute" xfId="71"/>
    <cellStyle name="Note" xfId="52" builtinId="10" customBuiltin="1"/>
    <cellStyle name="Œ…‹æØ‚è [0.00]_PRODUCT DETAIL Q1" xfId="53"/>
    <cellStyle name="Œ…‹æØ‚è_PRODUCT DETAIL Q1" xfId="54"/>
    <cellStyle name="Output" xfId="55" builtinId="21" customBuiltin="1"/>
    <cellStyle name="Percent" xfId="70" builtinId="5"/>
    <cellStyle name="Percent [2]" xfId="56"/>
    <cellStyle name="Percent.00" xfId="57"/>
    <cellStyle name="producto" xfId="58"/>
    <cellStyle name="RISKbottomEdge" xfId="59"/>
    <cellStyle name="RISKleftEdge" xfId="60"/>
    <cellStyle name="RISKnormBoxed" xfId="61"/>
    <cellStyle name="RISKnormHeading" xfId="62"/>
    <cellStyle name="RISKnormLabel" xfId="63"/>
    <cellStyle name="RISKnormTitle" xfId="64"/>
    <cellStyle name="RISKtopEdge" xfId="65"/>
    <cellStyle name="Title" xfId="66" builtinId="15" customBuiltin="1"/>
    <cellStyle name="Total" xfId="67" builtinId="25" customBuiltin="1"/>
    <cellStyle name="Warning Text" xfId="68" builtinId="11" customBuiltin="1"/>
  </cellStyles>
  <dxfs count="2">
    <dxf>
      <font>
        <condense val="0"/>
        <extend val="0"/>
        <color indexed="10"/>
      </font>
    </dxf>
    <dxf>
      <font>
        <condense val="0"/>
        <extend val="0"/>
        <color indexed="10"/>
      </font>
    </dxf>
  </dxfs>
  <tableStyles count="0" defaultTableStyle="TableStyleMedium9" defaultPivotStyle="PivotStyleLight16"/>
  <colors>
    <mruColors>
      <color rgb="FFFF66CC"/>
      <color rgb="FFFFFF99"/>
      <color rgb="FFFF6600"/>
      <color rgb="FF99CC0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hartsheet" Target="chartsheets/sheet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hartsheet" Target="chartsheets/sheet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hartsheet" Target="chartsheets/sheet4.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hartsheet" Target="chartsheets/sheet3.xml"/><Relationship Id="rId2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1542730299667039"/>
          <c:y val="3.4257748776509493E-2"/>
          <c:w val="0.72955974842767291"/>
          <c:h val="0.93148450244698211"/>
        </c:manualLayout>
      </c:layout>
      <c:barChart>
        <c:barDir val="col"/>
        <c:grouping val="clustered"/>
        <c:ser>
          <c:idx val="1"/>
          <c:order val="0"/>
          <c:tx>
            <c:strRef>
              <c:f>'Forest Glen'!$E$295</c:f>
              <c:strCache>
                <c:ptCount val="1"/>
                <c:pt idx="0">
                  <c:v>PROJECT COSTS</c:v>
                </c:pt>
              </c:strCache>
            </c:strRef>
          </c:tx>
          <c:spPr>
            <a:ln>
              <a:solidFill>
                <a:schemeClr val="tx1"/>
              </a:solidFill>
            </a:ln>
          </c:spPr>
          <c:dLbls>
            <c:delete val="1"/>
          </c:dLbls>
          <c:val>
            <c:numRef>
              <c:f>'Forest Glen'!$F$295:$J$295</c:f>
              <c:numCache>
                <c:formatCode>"$"#,##0.00_);[Red]\("$"#,##0.00\)</c:formatCode>
                <c:ptCount val="5"/>
                <c:pt idx="0">
                  <c:v>-1.1100000000000001</c:v>
                </c:pt>
                <c:pt idx="1">
                  <c:v>-3.63</c:v>
                </c:pt>
                <c:pt idx="2">
                  <c:v>-4.5433333333333303</c:v>
                </c:pt>
                <c:pt idx="3">
                  <c:v>-6.6206250000000004</c:v>
                </c:pt>
                <c:pt idx="4">
                  <c:v>-1.69604166666667</c:v>
                </c:pt>
              </c:numCache>
            </c:numRef>
          </c:val>
        </c:ser>
        <c:ser>
          <c:idx val="0"/>
          <c:order val="1"/>
          <c:tx>
            <c:strRef>
              <c:f>'Forest Glen'!$E$296</c:f>
              <c:strCache>
                <c:ptCount val="1"/>
                <c:pt idx="0">
                  <c:v>OTHER COSTS</c:v>
                </c:pt>
              </c:strCache>
            </c:strRef>
          </c:tx>
          <c:spPr>
            <a:solidFill>
              <a:srgbClr val="9999FF"/>
            </a:solidFill>
            <a:ln w="12700">
              <a:solidFill>
                <a:srgbClr val="000000"/>
              </a:solidFill>
              <a:prstDash val="solid"/>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Glen'!$F$296:$AC$296</c:f>
              <c:numCache>
                <c:formatCode>"$"#,##0.00_);[Red]\("$"#,##0.00\)</c:formatCode>
                <c:ptCount val="24"/>
                <c:pt idx="0">
                  <c:v>0</c:v>
                </c:pt>
                <c:pt idx="1">
                  <c:v>0</c:v>
                </c:pt>
                <c:pt idx="2">
                  <c:v>-0.23975971875000024</c:v>
                </c:pt>
                <c:pt idx="3">
                  <c:v>-0.35963957812499991</c:v>
                </c:pt>
                <c:pt idx="4">
                  <c:v>-0.4235442349680234</c:v>
                </c:pt>
                <c:pt idx="5">
                  <c:v>-0.54582520962042458</c:v>
                </c:pt>
                <c:pt idx="6">
                  <c:v>-0.55340072694280962</c:v>
                </c:pt>
                <c:pt idx="7">
                  <c:v>-0.56115802359605715</c:v>
                </c:pt>
                <c:pt idx="8">
                  <c:v>-0.5691025159873615</c:v>
                </c:pt>
                <c:pt idx="9">
                  <c:v>-0.57232497920632641</c:v>
                </c:pt>
                <c:pt idx="10">
                  <c:v>-0.57557840629708334</c:v>
                </c:pt>
                <c:pt idx="11">
                  <c:v>-0.57886309130505753</c:v>
                </c:pt>
                <c:pt idx="12">
                  <c:v>-0.58217933084708107</c:v>
                </c:pt>
                <c:pt idx="13">
                  <c:v>-0.58552742412837278</c:v>
                </c:pt>
                <c:pt idx="14">
                  <c:v>-0.58890767295946622</c:v>
                </c:pt>
                <c:pt idx="15">
                  <c:v>-0.592320381773076</c:v>
                </c:pt>
                <c:pt idx="16">
                  <c:v>-0.5957658576408984</c:v>
                </c:pt>
                <c:pt idx="17">
                  <c:v>-0.59924441029033637</c:v>
                </c:pt>
                <c:pt idx="18">
                  <c:v>-0.60275635212114376</c:v>
                </c:pt>
                <c:pt idx="19">
                  <c:v>-0.60630199822197695</c:v>
                </c:pt>
                <c:pt idx="20">
                  <c:v>-0.60988166638685115</c:v>
                </c:pt>
                <c:pt idx="21">
                  <c:v>-0.61349567713148678</c:v>
                </c:pt>
                <c:pt idx="22">
                  <c:v>-0.61714435370954268</c:v>
                </c:pt>
                <c:pt idx="23">
                  <c:v>-0.62082802212872212</c:v>
                </c:pt>
              </c:numCache>
            </c:numRef>
          </c:val>
        </c:ser>
        <c:ser>
          <c:idx val="2"/>
          <c:order val="2"/>
          <c:tx>
            <c:strRef>
              <c:f>'Forest Glen'!$C$290</c:f>
              <c:strCache>
                <c:ptCount val="1"/>
                <c:pt idx="0">
                  <c:v>BENEFITS</c:v>
                </c:pt>
              </c:strCache>
            </c:strRef>
          </c:tx>
          <c:spPr>
            <a:ln>
              <a:solidFill>
                <a:schemeClr val="accent1"/>
              </a:solidFill>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Glen'!$F$297:$AC$297</c:f>
              <c:numCache>
                <c:formatCode>_("$"* #,##0.00_);_("$"* \(#,##0.00\);_("$"* "-"??_);_(@_)</c:formatCode>
                <c:ptCount val="24"/>
                <c:pt idx="0">
                  <c:v>0</c:v>
                </c:pt>
                <c:pt idx="1">
                  <c:v>0</c:v>
                </c:pt>
                <c:pt idx="2">
                  <c:v>0</c:v>
                </c:pt>
                <c:pt idx="3">
                  <c:v>0</c:v>
                </c:pt>
                <c:pt idx="4">
                  <c:v>1.355292029401866</c:v>
                </c:pt>
                <c:pt idx="5">
                  <c:v>1.7548516654069466</c:v>
                </c:pt>
                <c:pt idx="6">
                  <c:v>1.7919079744487867</c:v>
                </c:pt>
                <c:pt idx="7">
                  <c:v>1.8302233678770252</c:v>
                </c:pt>
                <c:pt idx="8">
                  <c:v>1.8706390475551953</c:v>
                </c:pt>
                <c:pt idx="9">
                  <c:v>1.8751316309951636</c:v>
                </c:pt>
                <c:pt idx="10">
                  <c:v>1.8814475462614397</c:v>
                </c:pt>
                <c:pt idx="11">
                  <c:v>1.8878218778217282</c:v>
                </c:pt>
                <c:pt idx="12">
                  <c:v>1.8942552506796131</c:v>
                </c:pt>
                <c:pt idx="13">
                  <c:v>1.900748297313112</c:v>
                </c:pt>
                <c:pt idx="14">
                  <c:v>1.9073016577810296</c:v>
                </c:pt>
                <c:pt idx="15">
                  <c:v>1.9139159798312328</c:v>
                </c:pt>
                <c:pt idx="16">
                  <c:v>1.920591919010872</c:v>
                </c:pt>
                <c:pt idx="17">
                  <c:v>1.9273301387785942</c:v>
                </c:pt>
                <c:pt idx="18">
                  <c:v>1.9341313106188098</c:v>
                </c:pt>
                <c:pt idx="19">
                  <c:v>1.9409961141580387</c:v>
                </c:pt>
                <c:pt idx="20">
                  <c:v>1.9483794131100873</c:v>
                </c:pt>
                <c:pt idx="21">
                  <c:v>1.9558338341384325</c:v>
                </c:pt>
                <c:pt idx="22">
                  <c:v>1.963360170304189</c:v>
                </c:pt>
                <c:pt idx="23">
                  <c:v>1.970959224471784</c:v>
                </c:pt>
              </c:numCache>
            </c:numRef>
          </c:val>
        </c:ser>
        <c:dLbls>
          <c:showVal val="1"/>
        </c:dLbls>
        <c:gapWidth val="0"/>
        <c:axId val="146062720"/>
        <c:axId val="146076800"/>
      </c:barChart>
      <c:catAx>
        <c:axId val="146062720"/>
        <c:scaling>
          <c:orientation val="minMax"/>
        </c:scaling>
        <c:axPos val="b"/>
        <c:numFmt formatCode="General" sourceLinked="1"/>
        <c:tickLblPos val="none"/>
        <c:spPr>
          <a:ln w="3175">
            <a:solidFill>
              <a:srgbClr val="000000"/>
            </a:solidFill>
            <a:prstDash val="solid"/>
          </a:ln>
        </c:spPr>
        <c:txPr>
          <a:bodyPr rot="-2700000" vert="horz"/>
          <a:lstStyle/>
          <a:p>
            <a:pPr>
              <a:defRPr sz="1000" b="0" i="0" u="none" strike="noStrike" baseline="0">
                <a:solidFill>
                  <a:srgbClr val="000000"/>
                </a:solidFill>
                <a:latin typeface="Arial"/>
                <a:ea typeface="Arial"/>
                <a:cs typeface="Arial"/>
              </a:defRPr>
            </a:pPr>
            <a:endParaRPr lang="en-US"/>
          </a:p>
        </c:txPr>
        <c:crossAx val="146076800"/>
        <c:crosses val="autoZero"/>
        <c:auto val="1"/>
        <c:lblAlgn val="ctr"/>
        <c:lblOffset val="500"/>
        <c:tickLblSkip val="1"/>
        <c:tickMarkSkip val="1"/>
      </c:catAx>
      <c:valAx>
        <c:axId val="146076800"/>
        <c:scaling>
          <c:orientation val="minMax"/>
          <c:max val="2"/>
          <c:min val="-7"/>
        </c:scaling>
        <c:axPos val="l"/>
        <c:majorGridlines>
          <c:spPr>
            <a:ln w="3175">
              <a:solidFill>
                <a:srgbClr val="000000"/>
              </a:solidFill>
              <a:prstDash val="solid"/>
            </a:ln>
          </c:spPr>
        </c:majorGridlines>
        <c:numFmt formatCode="&quot;$&quot;#,##0_);[Red]\(&quot;$&quot;#,##0\)" sourceLinked="0"/>
        <c:tickLblPos val="nextTo"/>
        <c:spPr>
          <a:ln w="9525">
            <a:noFill/>
          </a:ln>
        </c:spPr>
        <c:txPr>
          <a:bodyPr rot="0" vert="horz"/>
          <a:lstStyle/>
          <a:p>
            <a:pPr>
              <a:defRPr sz="1000" b="0" i="0" u="none" strike="noStrike" baseline="0">
                <a:solidFill>
                  <a:srgbClr val="000000"/>
                </a:solidFill>
                <a:latin typeface="Arial"/>
                <a:ea typeface="Arial"/>
                <a:cs typeface="Arial"/>
              </a:defRPr>
            </a:pPr>
            <a:endParaRPr lang="en-US"/>
          </a:p>
        </c:txPr>
        <c:crossAx val="146062720"/>
        <c:crosses val="autoZero"/>
        <c:crossBetween val="between"/>
      </c:valAx>
      <c:spPr>
        <a:noFill/>
        <a:ln w="25400">
          <a:noFill/>
        </a:ln>
      </c:spPr>
    </c:plotArea>
    <c:legend>
      <c:legendPos val="r"/>
      <c:layout>
        <c:manualLayout>
          <c:xMode val="edge"/>
          <c:yMode val="edge"/>
          <c:x val="0.84831668516462955"/>
          <c:y val="0.40184883088635132"/>
          <c:w val="0.13678426711644462"/>
          <c:h val="0.10556062221423039"/>
        </c:manualLayout>
      </c:layout>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1542730299667039"/>
          <c:y val="3.42577487765095E-2"/>
          <c:w val="0.72955974842767291"/>
          <c:h val="0.93148450244698211"/>
        </c:manualLayout>
      </c:layout>
      <c:barChart>
        <c:barDir val="col"/>
        <c:grouping val="clustered"/>
        <c:ser>
          <c:idx val="1"/>
          <c:order val="0"/>
          <c:tx>
            <c:strRef>
              <c:f>'Forest Glen'!$E$295</c:f>
              <c:strCache>
                <c:ptCount val="1"/>
                <c:pt idx="0">
                  <c:v>PROJECT COSTS</c:v>
                </c:pt>
              </c:strCache>
            </c:strRef>
          </c:tx>
          <c:spPr>
            <a:ln>
              <a:solidFill>
                <a:schemeClr val="tx1"/>
              </a:solidFill>
            </a:ln>
          </c:spPr>
          <c:dLbls>
            <c:delete val="1"/>
          </c:dLbls>
          <c:val>
            <c:numRef>
              <c:f>'Forest Glen'!$F$299:$J$299</c:f>
              <c:numCache>
                <c:formatCode>"$"#,##0.00_);[Red]\("$"#,##0.00\)</c:formatCode>
                <c:ptCount val="5"/>
                <c:pt idx="0">
                  <c:v>-1.0776699029126215</c:v>
                </c:pt>
                <c:pt idx="1">
                  <c:v>-3.4216231501555283</c:v>
                </c:pt>
                <c:pt idx="2">
                  <c:v>-4.1577936056611851</c:v>
                </c:pt>
                <c:pt idx="3">
                  <c:v>-5.8823395616068073</c:v>
                </c:pt>
                <c:pt idx="4">
                  <c:v>-1.4630204403482274</c:v>
                </c:pt>
              </c:numCache>
            </c:numRef>
          </c:val>
        </c:ser>
        <c:ser>
          <c:idx val="0"/>
          <c:order val="1"/>
          <c:tx>
            <c:strRef>
              <c:f>'Forest Glen'!$E$296</c:f>
              <c:strCache>
                <c:ptCount val="1"/>
                <c:pt idx="0">
                  <c:v>OTHER COSTS</c:v>
                </c:pt>
              </c:strCache>
            </c:strRef>
          </c:tx>
          <c:spPr>
            <a:solidFill>
              <a:srgbClr val="9999FF"/>
            </a:solidFill>
            <a:ln w="12700">
              <a:solidFill>
                <a:srgbClr val="000000"/>
              </a:solidFill>
              <a:prstDash val="solid"/>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Glen'!$F$300:$AC$300</c:f>
              <c:numCache>
                <c:formatCode>"$"#,##0.00_);[Red]\("$"#,##0.00\)</c:formatCode>
                <c:ptCount val="24"/>
                <c:pt idx="0">
                  <c:v>0</c:v>
                </c:pt>
                <c:pt idx="1">
                  <c:v>0</c:v>
                </c:pt>
                <c:pt idx="2">
                  <c:v>-0.21941410686292204</c:v>
                </c:pt>
                <c:pt idx="3">
                  <c:v>-0.3195351070819249</c:v>
                </c:pt>
                <c:pt idx="4">
                  <c:v>-0.36535297765868735</c:v>
                </c:pt>
                <c:pt idx="5">
                  <c:v>-0.45712001995816104</c:v>
                </c:pt>
                <c:pt idx="6">
                  <c:v>-0.44996543344843959</c:v>
                </c:pt>
                <c:pt idx="7">
                  <c:v>-0.44298332573608484</c:v>
                </c:pt>
                <c:pt idx="8">
                  <c:v>-0.43616969067157019</c:v>
                </c:pt>
                <c:pt idx="9">
                  <c:v>-0.42586353437082214</c:v>
                </c:pt>
                <c:pt idx="10">
                  <c:v>-0.41581008705981992</c:v>
                </c:pt>
                <c:pt idx="11">
                  <c:v>-0.4060029256276752</c:v>
                </c:pt>
                <c:pt idx="12">
                  <c:v>-0.39643579545665131</c:v>
                </c:pt>
                <c:pt idx="13">
                  <c:v>-0.38710260588637774</c:v>
                </c:pt>
                <c:pt idx="14">
                  <c:v>-0.37799742580263218</c:v>
                </c:pt>
                <c:pt idx="15">
                  <c:v>-0.36911447934721719</c:v>
                </c:pt>
                <c:pt idx="16">
                  <c:v>-0.36044814174555806</c:v>
                </c:pt>
                <c:pt idx="17">
                  <c:v>-0.35199293524874264</c:v>
                </c:pt>
                <c:pt idx="18">
                  <c:v>-0.3437435251868165</c:v>
                </c:pt>
                <c:pt idx="19">
                  <c:v>-0.33569471613023483</c:v>
                </c:pt>
                <c:pt idx="20">
                  <c:v>-0.32784144815646443</c:v>
                </c:pt>
                <c:pt idx="21">
                  <c:v>-0.32017879321880666</c:v>
                </c:pt>
                <c:pt idx="22">
                  <c:v>-0.3127019516146019</c:v>
                </c:pt>
                <c:pt idx="23">
                  <c:v>-0.30540624855004966</c:v>
                </c:pt>
              </c:numCache>
            </c:numRef>
          </c:val>
        </c:ser>
        <c:ser>
          <c:idx val="2"/>
          <c:order val="2"/>
          <c:tx>
            <c:strRef>
              <c:f>'Forest Glen'!$C$290</c:f>
              <c:strCache>
                <c:ptCount val="1"/>
                <c:pt idx="0">
                  <c:v>BENEFITS</c:v>
                </c:pt>
              </c:strCache>
            </c:strRef>
          </c:tx>
          <c:spPr>
            <a:ln>
              <a:solidFill>
                <a:schemeClr val="accent1"/>
              </a:solidFill>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Glen'!$F$301:$AC$301</c:f>
              <c:numCache>
                <c:formatCode>"$"#,##0.00_);[Red]\("$"#,##0.00\)</c:formatCode>
                <c:ptCount val="24"/>
                <c:pt idx="0">
                  <c:v>0</c:v>
                </c:pt>
                <c:pt idx="1">
                  <c:v>0</c:v>
                </c:pt>
                <c:pt idx="2">
                  <c:v>0</c:v>
                </c:pt>
                <c:pt idx="3">
                  <c:v>0</c:v>
                </c:pt>
                <c:pt idx="4">
                  <c:v>1.1690868099678902</c:v>
                </c:pt>
                <c:pt idx="5">
                  <c:v>1.4696606425934093</c:v>
                </c:pt>
                <c:pt idx="6">
                  <c:v>1.4569851631327713</c:v>
                </c:pt>
                <c:pt idx="7">
                  <c:v>1.4447952274592748</c:v>
                </c:pt>
                <c:pt idx="8">
                  <c:v>1.4336890662216468</c:v>
                </c:pt>
                <c:pt idx="9">
                  <c:v>1.3952740362538723</c:v>
                </c:pt>
                <c:pt idx="10">
                  <c:v>1.3591977382237979</c:v>
                </c:pt>
                <c:pt idx="11">
                  <c:v>1.3240802824922768</c:v>
                </c:pt>
                <c:pt idx="12">
                  <c:v>1.2898956512393951</c:v>
                </c:pt>
                <c:pt idx="13">
                  <c:v>1.2566185437331208</c:v>
                </c:pt>
                <c:pt idx="14">
                  <c:v>1.2242243563363191</c:v>
                </c:pt>
                <c:pt idx="15">
                  <c:v>1.1926891630758949</c:v>
                </c:pt>
                <c:pt idx="16">
                  <c:v>1.1619896967581458</c:v>
                </c:pt>
                <c:pt idx="17">
                  <c:v>1.1321033306148873</c:v>
                </c:pt>
                <c:pt idx="18">
                  <c:v>1.1030080604653416</c:v>
                </c:pt>
                <c:pt idx="19">
                  <c:v>1.0746824873791969</c:v>
                </c:pt>
                <c:pt idx="20">
                  <c:v>1.0473499427134521</c:v>
                </c:pt>
                <c:pt idx="21">
                  <c:v>1.0207350110092819</c:v>
                </c:pt>
                <c:pt idx="22">
                  <c:v>0.99481839748865197</c:v>
                </c:pt>
                <c:pt idx="23">
                  <c:v>0.9695813354672258</c:v>
                </c:pt>
              </c:numCache>
            </c:numRef>
          </c:val>
        </c:ser>
        <c:dLbls>
          <c:showVal val="1"/>
        </c:dLbls>
        <c:gapWidth val="0"/>
        <c:axId val="146422016"/>
        <c:axId val="146432000"/>
      </c:barChart>
      <c:catAx>
        <c:axId val="146422016"/>
        <c:scaling>
          <c:orientation val="minMax"/>
        </c:scaling>
        <c:axPos val="b"/>
        <c:numFmt formatCode="&quot;$&quot;#,##0.00_);[Red]\(&quot;$&quot;#,##0.00\)" sourceLinked="1"/>
        <c:tickLblPos val="none"/>
        <c:spPr>
          <a:ln w="3175">
            <a:solidFill>
              <a:srgbClr val="000000"/>
            </a:solidFill>
            <a:prstDash val="solid"/>
          </a:ln>
        </c:spPr>
        <c:txPr>
          <a:bodyPr rot="-2700000" vert="horz"/>
          <a:lstStyle/>
          <a:p>
            <a:pPr>
              <a:defRPr sz="1000" b="0" i="0" u="none" strike="noStrike" baseline="0">
                <a:solidFill>
                  <a:srgbClr val="000000"/>
                </a:solidFill>
                <a:latin typeface="Arial"/>
                <a:ea typeface="Arial"/>
                <a:cs typeface="Arial"/>
              </a:defRPr>
            </a:pPr>
            <a:endParaRPr lang="en-US"/>
          </a:p>
        </c:txPr>
        <c:crossAx val="146432000"/>
        <c:crosses val="autoZero"/>
        <c:auto val="1"/>
        <c:lblAlgn val="ctr"/>
        <c:lblOffset val="500"/>
        <c:tickLblSkip val="1"/>
        <c:tickMarkSkip val="1"/>
      </c:catAx>
      <c:valAx>
        <c:axId val="146432000"/>
        <c:scaling>
          <c:orientation val="minMax"/>
          <c:max val="2"/>
          <c:min val="-7"/>
        </c:scaling>
        <c:axPos val="l"/>
        <c:majorGridlines>
          <c:spPr>
            <a:ln w="3175">
              <a:solidFill>
                <a:srgbClr val="000000"/>
              </a:solidFill>
              <a:prstDash val="solid"/>
            </a:ln>
          </c:spPr>
        </c:majorGridlines>
        <c:numFmt formatCode="&quot;$&quot;#,##0_);[Red]\(&quot;$&quot;#,##0\)" sourceLinked="0"/>
        <c:tickLblPos val="nextTo"/>
        <c:spPr>
          <a:ln w="9525">
            <a:noFill/>
          </a:ln>
        </c:spPr>
        <c:txPr>
          <a:bodyPr rot="0" vert="horz"/>
          <a:lstStyle/>
          <a:p>
            <a:pPr>
              <a:defRPr sz="1000" b="0" i="0" u="none" strike="noStrike" baseline="0">
                <a:solidFill>
                  <a:srgbClr val="000000"/>
                </a:solidFill>
                <a:latin typeface="Arial"/>
                <a:ea typeface="Arial"/>
                <a:cs typeface="Arial"/>
              </a:defRPr>
            </a:pPr>
            <a:endParaRPr lang="en-US"/>
          </a:p>
        </c:txPr>
        <c:crossAx val="146422016"/>
        <c:crosses val="autoZero"/>
        <c:crossBetween val="between"/>
      </c:valAx>
      <c:spPr>
        <a:noFill/>
        <a:ln w="25400">
          <a:noFill/>
        </a:ln>
      </c:spPr>
    </c:plotArea>
    <c:legend>
      <c:legendPos val="r"/>
      <c:layout>
        <c:manualLayout>
          <c:xMode val="edge"/>
          <c:yMode val="edge"/>
          <c:x val="0.84831668516462944"/>
          <c:y val="0.40184883088635132"/>
          <c:w val="0.13678426711644467"/>
          <c:h val="0.10556062221423042"/>
        </c:manualLayout>
      </c:layout>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1542730299667039"/>
          <c:y val="3.8607939097335515E-2"/>
          <c:w val="0.72955974842767291"/>
          <c:h val="0.93148450244698211"/>
        </c:manualLayout>
      </c:layout>
      <c:barChart>
        <c:barDir val="col"/>
        <c:grouping val="clustered"/>
        <c:ser>
          <c:idx val="1"/>
          <c:order val="0"/>
          <c:tx>
            <c:strRef>
              <c:f>'Forest Glen'!$E$295</c:f>
              <c:strCache>
                <c:ptCount val="1"/>
                <c:pt idx="0">
                  <c:v>PROJECT COSTS</c:v>
                </c:pt>
              </c:strCache>
            </c:strRef>
          </c:tx>
          <c:spPr>
            <a:ln>
              <a:solidFill>
                <a:schemeClr val="tx1"/>
              </a:solidFill>
            </a:ln>
          </c:spPr>
          <c:dLbls>
            <c:delete val="1"/>
          </c:dLbls>
          <c:val>
            <c:numRef>
              <c:f>'Forest Glen'!$F$303:$J$303</c:f>
              <c:numCache>
                <c:formatCode>"$"#,##0.00_);[Red]\("$"#,##0.00\)</c:formatCode>
                <c:ptCount val="5"/>
                <c:pt idx="0">
                  <c:v>-1.0373831775700935</c:v>
                </c:pt>
                <c:pt idx="1">
                  <c:v>-3.170582583631758</c:v>
                </c:pt>
                <c:pt idx="2">
                  <c:v>-3.7087133540074344</c:v>
                </c:pt>
                <c:pt idx="3">
                  <c:v>-5.0508431132621459</c:v>
                </c:pt>
                <c:pt idx="4">
                  <c:v>-1.2092542681617822</c:v>
                </c:pt>
              </c:numCache>
            </c:numRef>
          </c:val>
        </c:ser>
        <c:ser>
          <c:idx val="0"/>
          <c:order val="1"/>
          <c:tx>
            <c:strRef>
              <c:f>'Forest Glen'!$E$296</c:f>
              <c:strCache>
                <c:ptCount val="1"/>
                <c:pt idx="0">
                  <c:v>OTHER COSTS</c:v>
                </c:pt>
              </c:strCache>
            </c:strRef>
          </c:tx>
          <c:spPr>
            <a:solidFill>
              <a:srgbClr val="9999FF"/>
            </a:solidFill>
            <a:ln w="12700">
              <a:solidFill>
                <a:srgbClr val="000000"/>
              </a:solidFill>
              <a:prstDash val="solid"/>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Glen'!$F$304:$AC$304</c:f>
              <c:numCache>
                <c:formatCode>"$"#,##0.00_);[Red]\("$"#,##0.00\)</c:formatCode>
                <c:ptCount val="24"/>
                <c:pt idx="0">
                  <c:v>0</c:v>
                </c:pt>
                <c:pt idx="1">
                  <c:v>0</c:v>
                </c:pt>
                <c:pt idx="2">
                  <c:v>-0.19571534937957297</c:v>
                </c:pt>
                <c:pt idx="3">
                  <c:v>-0.27436731221435429</c:v>
                </c:pt>
                <c:pt idx="4">
                  <c:v>-0.30198118593218409</c:v>
                </c:pt>
                <c:pt idx="5">
                  <c:v>-0.36370638399358768</c:v>
                </c:pt>
                <c:pt idx="6">
                  <c:v>-0.34463015986237966</c:v>
                </c:pt>
                <c:pt idx="7">
                  <c:v>-0.32659907883262779</c:v>
                </c:pt>
                <c:pt idx="8">
                  <c:v>-0.30955406143506037</c:v>
                </c:pt>
                <c:pt idx="9">
                  <c:v>-0.29094099805055301</c:v>
                </c:pt>
                <c:pt idx="10">
                  <c:v>-0.27345315458799174</c:v>
                </c:pt>
                <c:pt idx="11">
                  <c:v>-0.25702213530250706</c:v>
                </c:pt>
                <c:pt idx="12">
                  <c:v>-0.24158372459707714</c:v>
                </c:pt>
                <c:pt idx="13">
                  <c:v>-0.22707763016544641</c:v>
                </c:pt>
                <c:pt idx="14">
                  <c:v>-0.2134472420010029</c:v>
                </c:pt>
                <c:pt idx="15">
                  <c:v>-0.20063940628663005</c:v>
                </c:pt>
                <c:pt idx="16">
                  <c:v>-0.18860421324199508</c:v>
                </c:pt>
                <c:pt idx="17">
                  <c:v>-0.17729479806232543</c:v>
                </c:pt>
                <c:pt idx="18">
                  <c:v>-0.1666671541367119</c:v>
                </c:pt>
                <c:pt idx="19">
                  <c:v>-0.15667995778457913</c:v>
                </c:pt>
                <c:pt idx="20">
                  <c:v>-0.14729440379640232</c:v>
                </c:pt>
                <c:pt idx="21">
                  <c:v>-0.13847405110921288</c:v>
                </c:pt>
                <c:pt idx="22">
                  <c:v>-0.13018467798912309</c:v>
                </c:pt>
                <c:pt idx="23">
                  <c:v>-0.122394146132174</c:v>
                </c:pt>
              </c:numCache>
            </c:numRef>
          </c:val>
        </c:ser>
        <c:ser>
          <c:idx val="2"/>
          <c:order val="2"/>
          <c:tx>
            <c:strRef>
              <c:f>'Forest Glen'!$C$290</c:f>
              <c:strCache>
                <c:ptCount val="1"/>
                <c:pt idx="0">
                  <c:v>BENEFITS</c:v>
                </c:pt>
              </c:strCache>
            </c:strRef>
          </c:tx>
          <c:spPr>
            <a:ln>
              <a:solidFill>
                <a:schemeClr val="accent1"/>
              </a:solidFill>
            </a:ln>
          </c:spPr>
          <c:dLbls>
            <c:delete val="1"/>
          </c:dLbls>
          <c:cat>
            <c:numRef>
              <c:f>'Forest Glen'!$F$1:$AC$1</c:f>
              <c:numCache>
                <c:formatCode>General</c:formatCode>
                <c:ptCount val="24"/>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pt idx="13">
                  <c:v>2025</c:v>
                </c:pt>
                <c:pt idx="14">
                  <c:v>2026</c:v>
                </c:pt>
                <c:pt idx="15">
                  <c:v>2027</c:v>
                </c:pt>
                <c:pt idx="16">
                  <c:v>2028</c:v>
                </c:pt>
                <c:pt idx="17">
                  <c:v>2029</c:v>
                </c:pt>
                <c:pt idx="18">
                  <c:v>2030</c:v>
                </c:pt>
                <c:pt idx="19">
                  <c:v>2031</c:v>
                </c:pt>
                <c:pt idx="20">
                  <c:v>2032</c:v>
                </c:pt>
                <c:pt idx="21">
                  <c:v>2033</c:v>
                </c:pt>
                <c:pt idx="22">
                  <c:v>2034</c:v>
                </c:pt>
                <c:pt idx="23">
                  <c:v>2035</c:v>
                </c:pt>
              </c:numCache>
            </c:numRef>
          </c:cat>
          <c:val>
            <c:numRef>
              <c:f>'Forest Glen'!$F$305:$AC$305</c:f>
              <c:numCache>
                <c:formatCode>"$"#,##0.00_);[Red]\("$"#,##0.00\)</c:formatCode>
                <c:ptCount val="24"/>
                <c:pt idx="0">
                  <c:v>0</c:v>
                </c:pt>
                <c:pt idx="1">
                  <c:v>0</c:v>
                </c:pt>
                <c:pt idx="2">
                  <c:v>0</c:v>
                </c:pt>
                <c:pt idx="3">
                  <c:v>0</c:v>
                </c:pt>
                <c:pt idx="4">
                  <c:v>0.96630448612790387</c:v>
                </c:pt>
                <c:pt idx="5">
                  <c:v>1.1693317611953751</c:v>
                </c:pt>
                <c:pt idx="6">
                  <c:v>1.115910228568922</c:v>
                </c:pt>
                <c:pt idx="7">
                  <c:v>1.065206663492116</c:v>
                </c:pt>
                <c:pt idx="8">
                  <c:v>1.017503698160743</c:v>
                </c:pt>
                <c:pt idx="9">
                  <c:v>0.95322183727580989</c:v>
                </c:pt>
                <c:pt idx="10">
                  <c:v>0.89386217600991047</c:v>
                </c:pt>
                <c:pt idx="11">
                  <c:v>0.83821549066914902</c:v>
                </c:pt>
                <c:pt idx="12">
                  <c:v>0.78604858425822854</c:v>
                </c:pt>
                <c:pt idx="13">
                  <c:v>0.73714296053234851</c:v>
                </c:pt>
                <c:pt idx="14">
                  <c:v>0.69129389412000775</c:v>
                </c:pt>
                <c:pt idx="15">
                  <c:v>0.64830955964461368</c:v>
                </c:pt>
                <c:pt idx="16">
                  <c:v>0.6080102160911619</c:v>
                </c:pt>
                <c:pt idx="17">
                  <c:v>0.57022744290368388</c:v>
                </c:pt>
                <c:pt idx="18">
                  <c:v>0.53480342452327689</c:v>
                </c:pt>
                <c:pt idx="19">
                  <c:v>0.50159028028631403</c:v>
                </c:pt>
                <c:pt idx="20">
                  <c:v>0.47055912620465329</c:v>
                </c:pt>
                <c:pt idx="21">
                  <c:v>0.44145744526830177</c:v>
                </c:pt>
                <c:pt idx="22">
                  <c:v>0.41416470880979317</c:v>
                </c:pt>
                <c:pt idx="23">
                  <c:v>0.38856794916151283</c:v>
                </c:pt>
              </c:numCache>
            </c:numRef>
          </c:val>
        </c:ser>
        <c:dLbls>
          <c:showVal val="1"/>
        </c:dLbls>
        <c:gapWidth val="0"/>
        <c:axId val="146470016"/>
        <c:axId val="146471552"/>
      </c:barChart>
      <c:catAx>
        <c:axId val="146470016"/>
        <c:scaling>
          <c:orientation val="minMax"/>
        </c:scaling>
        <c:axPos val="b"/>
        <c:numFmt formatCode="General" sourceLinked="1"/>
        <c:tickLblPos val="none"/>
        <c:spPr>
          <a:ln w="3175">
            <a:solidFill>
              <a:srgbClr val="000000"/>
            </a:solidFill>
            <a:prstDash val="solid"/>
          </a:ln>
        </c:spPr>
        <c:txPr>
          <a:bodyPr rot="-2700000" vert="horz"/>
          <a:lstStyle/>
          <a:p>
            <a:pPr>
              <a:defRPr sz="1000" b="0" i="0" u="none" strike="noStrike" baseline="0">
                <a:solidFill>
                  <a:srgbClr val="000000"/>
                </a:solidFill>
                <a:latin typeface="Arial"/>
                <a:ea typeface="Arial"/>
                <a:cs typeface="Arial"/>
              </a:defRPr>
            </a:pPr>
            <a:endParaRPr lang="en-US"/>
          </a:p>
        </c:txPr>
        <c:crossAx val="146471552"/>
        <c:crosses val="autoZero"/>
        <c:auto val="1"/>
        <c:lblAlgn val="ctr"/>
        <c:lblOffset val="500"/>
        <c:tickLblSkip val="1"/>
        <c:tickMarkSkip val="1"/>
      </c:catAx>
      <c:valAx>
        <c:axId val="146471552"/>
        <c:scaling>
          <c:orientation val="minMax"/>
          <c:max val="2"/>
          <c:min val="-7"/>
        </c:scaling>
        <c:axPos val="l"/>
        <c:majorGridlines>
          <c:spPr>
            <a:ln w="3175">
              <a:solidFill>
                <a:srgbClr val="000000"/>
              </a:solidFill>
              <a:prstDash val="solid"/>
            </a:ln>
          </c:spPr>
        </c:majorGridlines>
        <c:numFmt formatCode="&quot;$&quot;#,##0_);[Red]\(&quot;$&quot;#,##0\)" sourceLinked="0"/>
        <c:tickLblPos val="nextTo"/>
        <c:spPr>
          <a:ln w="9525">
            <a:noFill/>
          </a:ln>
        </c:spPr>
        <c:txPr>
          <a:bodyPr rot="0" vert="horz"/>
          <a:lstStyle/>
          <a:p>
            <a:pPr>
              <a:defRPr sz="1000" b="0" i="0" u="none" strike="noStrike" baseline="0">
                <a:solidFill>
                  <a:srgbClr val="000000"/>
                </a:solidFill>
                <a:latin typeface="Arial"/>
                <a:ea typeface="Arial"/>
                <a:cs typeface="Arial"/>
              </a:defRPr>
            </a:pPr>
            <a:endParaRPr lang="en-US"/>
          </a:p>
        </c:txPr>
        <c:crossAx val="146470016"/>
        <c:crosses val="autoZero"/>
        <c:crossBetween val="between"/>
      </c:valAx>
      <c:spPr>
        <a:noFill/>
        <a:ln w="25400">
          <a:noFill/>
        </a:ln>
      </c:spPr>
    </c:plotArea>
    <c:legend>
      <c:legendPos val="r"/>
      <c:layout>
        <c:manualLayout>
          <c:xMode val="edge"/>
          <c:yMode val="edge"/>
          <c:x val="0.84831668516462932"/>
          <c:y val="0.40184883088635132"/>
          <c:w val="0.13678426711644473"/>
          <c:h val="0.10556062221423045"/>
        </c:manualLayout>
      </c:layout>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1"/>
    <c:dispBlanksAs val="gap"/>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c:lang val="en-US"/>
  <c:chart>
    <c:view3D>
      <c:perspective val="30"/>
    </c:view3D>
    <c:plotArea>
      <c:layout/>
      <c:bar3DChart>
        <c:barDir val="col"/>
        <c:grouping val="clustered"/>
        <c:ser>
          <c:idx val="0"/>
          <c:order val="0"/>
          <c:val>
            <c:numRef>
              <c:f>'Forest Glen'!$AG$18</c:f>
              <c:numCache>
                <c:formatCode>_("$"* #,##0_);_("$"* \(#,##0\);_("$"* "-"??_);_(@_)</c:formatCode>
                <c:ptCount val="1"/>
                <c:pt idx="0">
                  <c:v>5264435.7373313867</c:v>
                </c:pt>
              </c:numCache>
            </c:numRef>
          </c:val>
        </c:ser>
        <c:ser>
          <c:idx val="2"/>
          <c:order val="1"/>
          <c:val>
            <c:numRef>
              <c:f>'Forest Glen'!$AG$19</c:f>
              <c:numCache>
                <c:formatCode>"$"#,##0.00_);[Red]\("$"#,##0.00\)</c:formatCode>
                <c:ptCount val="1"/>
                <c:pt idx="0">
                  <c:v>22406.460291492676</c:v>
                </c:pt>
              </c:numCache>
            </c:numRef>
          </c:val>
        </c:ser>
        <c:ser>
          <c:idx val="3"/>
          <c:order val="2"/>
          <c:val>
            <c:numRef>
              <c:f>'Forest Glen'!$AG$20</c:f>
              <c:numCache>
                <c:formatCode>"$"#,##0.00_);[Red]\("$"#,##0.00\)</c:formatCode>
                <c:ptCount val="1"/>
                <c:pt idx="0">
                  <c:v>4126011.4182648961</c:v>
                </c:pt>
              </c:numCache>
            </c:numRef>
          </c:val>
        </c:ser>
        <c:ser>
          <c:idx val="4"/>
          <c:order val="3"/>
          <c:val>
            <c:numRef>
              <c:f>'Forest Glen'!$AG$21</c:f>
              <c:numCache>
                <c:formatCode>"$"#,##0.00_);[Red]\("$"#,##0.00\)</c:formatCode>
                <c:ptCount val="1"/>
                <c:pt idx="0">
                  <c:v>22406.460291492676</c:v>
                </c:pt>
              </c:numCache>
            </c:numRef>
          </c:val>
        </c:ser>
        <c:ser>
          <c:idx val="5"/>
          <c:order val="4"/>
          <c:val>
            <c:numRef>
              <c:f>'Forest Glen'!$AG$22</c:f>
              <c:numCache>
                <c:formatCode>"$"#,##0.00_);[Red]\("$"#,##0.00\)</c:formatCode>
                <c:ptCount val="1"/>
                <c:pt idx="0">
                  <c:v>5145595.129809197</c:v>
                </c:pt>
              </c:numCache>
            </c:numRef>
          </c:val>
        </c:ser>
        <c:ser>
          <c:idx val="6"/>
          <c:order val="5"/>
          <c:val>
            <c:numRef>
              <c:f>'Forest Glen'!$AG$23</c:f>
              <c:numCache>
                <c:formatCode>"$"#,##0_);[Red]\("$"#,##0\)</c:formatCode>
                <c:ptCount val="1"/>
                <c:pt idx="0">
                  <c:v>5432460.5746042216</c:v>
                </c:pt>
              </c:numCache>
            </c:numRef>
          </c:val>
        </c:ser>
        <c:ser>
          <c:idx val="7"/>
          <c:order val="6"/>
          <c:val>
            <c:numRef>
              <c:f>'Forest Glen'!$AG$24</c:f>
              <c:numCache>
                <c:formatCode>"$"#,##0</c:formatCode>
                <c:ptCount val="1"/>
                <c:pt idx="0">
                  <c:v>859487.67765885603</c:v>
                </c:pt>
              </c:numCache>
            </c:numRef>
          </c:val>
        </c:ser>
        <c:ser>
          <c:idx val="8"/>
          <c:order val="7"/>
          <c:val>
            <c:numRef>
              <c:f>'Forest Glen'!$AG$25</c:f>
              <c:numCache>
                <c:formatCode>"$"#,##0</c:formatCode>
                <c:ptCount val="1"/>
                <c:pt idx="0">
                  <c:v>335127.5453467773</c:v>
                </c:pt>
              </c:numCache>
            </c:numRef>
          </c:val>
        </c:ser>
        <c:ser>
          <c:idx val="9"/>
          <c:order val="8"/>
          <c:val>
            <c:numRef>
              <c:f>'Forest Glen'!$AG$26</c:f>
              <c:numCache>
                <c:formatCode>"$"#,##0</c:formatCode>
                <c:ptCount val="1"/>
                <c:pt idx="0">
                  <c:v>17412.929065019889</c:v>
                </c:pt>
              </c:numCache>
            </c:numRef>
          </c:val>
        </c:ser>
        <c:ser>
          <c:idx val="10"/>
          <c:order val="9"/>
          <c:val>
            <c:numRef>
              <c:f>'Forest Glen'!$AG$27</c:f>
              <c:numCache>
                <c:formatCode>"$"#,##0</c:formatCode>
                <c:ptCount val="1"/>
                <c:pt idx="0">
                  <c:v>5754564.528875283</c:v>
                </c:pt>
              </c:numCache>
            </c:numRef>
          </c:val>
        </c:ser>
        <c:shape val="cylinder"/>
        <c:axId val="140397568"/>
        <c:axId val="140411648"/>
        <c:axId val="0"/>
      </c:bar3DChart>
      <c:catAx>
        <c:axId val="140397568"/>
        <c:scaling>
          <c:orientation val="minMax"/>
        </c:scaling>
        <c:delete val="1"/>
        <c:axPos val="b"/>
        <c:tickLblPos val="none"/>
        <c:crossAx val="140411648"/>
        <c:crosses val="autoZero"/>
        <c:auto val="1"/>
        <c:lblAlgn val="ctr"/>
        <c:lblOffset val="100"/>
      </c:catAx>
      <c:valAx>
        <c:axId val="140411648"/>
        <c:scaling>
          <c:orientation val="minMax"/>
        </c:scaling>
        <c:delete val="1"/>
        <c:axPos val="l"/>
        <c:majorGridlines/>
        <c:numFmt formatCode="_(&quot;$&quot;* #,##0_);_(&quot;$&quot;* \(#,##0\);_(&quot;$&quot;* &quot;-&quot;??_);_(@_)" sourceLinked="1"/>
        <c:tickLblPos val="none"/>
        <c:crossAx val="140397568"/>
        <c:crosses val="autoZero"/>
        <c:crossBetween val="between"/>
      </c:valAx>
    </c:plotArea>
    <c:plotVisOnly val="1"/>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sheetPr>
    <tabColor indexed="48"/>
  </sheetPr>
  <sheetViews>
    <sheetView zoomScale="128" workbookViewId="0"/>
  </sheetViews>
  <pageMargins left="0.75" right="0.75" top="1" bottom="1" header="0.5" footer="0.5"/>
  <headerFooter alignWithMargins="0"/>
  <drawing r:id="rId1"/>
</chartsheet>
</file>

<file path=xl/chartsheets/sheet2.xml><?xml version="1.0" encoding="utf-8"?>
<chartsheet xmlns="http://schemas.openxmlformats.org/spreadsheetml/2006/main" xmlns:r="http://schemas.openxmlformats.org/officeDocument/2006/relationships">
  <sheetPr>
    <tabColor indexed="48"/>
  </sheetPr>
  <sheetViews>
    <sheetView zoomScale="128" workbookViewId="0"/>
  </sheetViews>
  <pageMargins left="0.75" right="0.75" top="1" bottom="1" header="0.5" footer="0.5"/>
  <headerFooter alignWithMargins="0"/>
  <drawing r:id="rId1"/>
</chartsheet>
</file>

<file path=xl/chartsheets/sheet3.xml><?xml version="1.0" encoding="utf-8"?>
<chartsheet xmlns="http://schemas.openxmlformats.org/spreadsheetml/2006/main" xmlns:r="http://schemas.openxmlformats.org/officeDocument/2006/relationships">
  <sheetPr>
    <tabColor indexed="48"/>
  </sheetPr>
  <sheetViews>
    <sheetView zoomScale="128" workbookViewId="0"/>
  </sheetViews>
  <pageMargins left="0.75" right="0.75" top="1" bottom="1" header="0.5" footer="0.5"/>
  <headerFooter alignWithMargins="0"/>
  <drawing r:id="rId1"/>
</chartsheet>
</file>

<file path=xl/chartsheets/sheet4.xml><?xml version="1.0" encoding="utf-8"?>
<chartsheet xmlns="http://schemas.openxmlformats.org/spreadsheetml/2006/main" xmlns:r="http://schemas.openxmlformats.org/officeDocument/2006/relationships">
  <sheetPr/>
  <sheetViews>
    <sheetView zoomScale="109"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582025"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ostpxweb.dot.gov/policy/Data/VOTrevision1_2-11-03.pdf%20+%20HDR" TargetMode="External"/></Relationships>
</file>

<file path=xl/worksheets/sheet1.xml><?xml version="1.0" encoding="utf-8"?>
<worksheet xmlns="http://schemas.openxmlformats.org/spreadsheetml/2006/main" xmlns:r="http://schemas.openxmlformats.org/officeDocument/2006/relationships">
  <dimension ref="A2:Z127"/>
  <sheetViews>
    <sheetView tabSelected="1" topLeftCell="A21" zoomScale="75" zoomScaleNormal="75" workbookViewId="0">
      <selection activeCell="F72" sqref="F72"/>
    </sheetView>
  </sheetViews>
  <sheetFormatPr defaultRowHeight="12.75"/>
  <cols>
    <col min="1" max="1" width="36.5703125" customWidth="1"/>
    <col min="2" max="3" width="13.42578125" customWidth="1"/>
    <col min="4" max="4" width="15.5703125" customWidth="1"/>
    <col min="5" max="8" width="13.42578125" customWidth="1"/>
    <col min="9" max="25" width="12" customWidth="1"/>
    <col min="26" max="26" width="15.5703125" customWidth="1"/>
  </cols>
  <sheetData>
    <row r="2" spans="1:10" ht="23.25">
      <c r="A2" s="494" t="s">
        <v>626</v>
      </c>
    </row>
    <row r="4" spans="1:10">
      <c r="A4" s="474"/>
      <c r="B4" s="493"/>
      <c r="C4" s="493"/>
      <c r="D4" s="475"/>
      <c r="E4" s="475"/>
      <c r="F4" s="475"/>
      <c r="G4" s="475"/>
      <c r="H4" s="475"/>
      <c r="I4" s="475"/>
      <c r="J4" s="475"/>
    </row>
    <row r="5" spans="1:10" ht="93" customHeight="1">
      <c r="A5" s="457" t="s">
        <v>604</v>
      </c>
      <c r="B5" s="473" t="s">
        <v>598</v>
      </c>
      <c r="C5" s="473" t="s">
        <v>595</v>
      </c>
      <c r="D5" s="473" t="s">
        <v>596</v>
      </c>
      <c r="E5" s="473" t="s">
        <v>597</v>
      </c>
      <c r="F5" s="473" t="s">
        <v>620</v>
      </c>
      <c r="G5" s="473" t="s">
        <v>593</v>
      </c>
      <c r="H5" s="473" t="s">
        <v>594</v>
      </c>
    </row>
    <row r="6" spans="1:10" ht="15.75">
      <c r="A6" s="449" t="s">
        <v>1</v>
      </c>
      <c r="B6" s="450">
        <f>FT!D217</f>
        <v>7295.0522185898262</v>
      </c>
      <c r="C6" s="450">
        <f>'Forest Glen'!D330</f>
        <v>22615.218366453431</v>
      </c>
      <c r="D6" s="450">
        <f>NC!D221</f>
        <v>1194.2140139829385</v>
      </c>
      <c r="E6" s="450">
        <f>TB!D218</f>
        <v>1209.2010846633218</v>
      </c>
      <c r="F6" s="450">
        <f>WH!D214</f>
        <v>1169.0062618144389</v>
      </c>
      <c r="G6" s="450">
        <f>'A-N Drive'!D281</f>
        <v>18294.700472986511</v>
      </c>
      <c r="H6" s="450">
        <f>VRE!D159</f>
        <v>736.24994283277852</v>
      </c>
    </row>
    <row r="7" spans="1:10" ht="15.75">
      <c r="A7" s="451" t="s">
        <v>199</v>
      </c>
      <c r="B7" s="452">
        <f>FT!D218</f>
        <v>3864.7027981828946</v>
      </c>
      <c r="C7" s="452">
        <f>'Forest Glen'!D331</f>
        <v>16002.446660684369</v>
      </c>
      <c r="D7" s="452">
        <f>NC!D222</f>
        <v>819.36084534069528</v>
      </c>
      <c r="E7" s="452">
        <f>TB!D219</f>
        <v>472.79666321048165</v>
      </c>
      <c r="F7" s="452">
        <f>WH!D215</f>
        <v>670.53916486002458</v>
      </c>
      <c r="G7" s="452">
        <f>'A-N Drive'!D282</f>
        <v>6478.7162807050618</v>
      </c>
      <c r="H7" s="452">
        <f>VRE!D160</f>
        <v>267.10111491708358</v>
      </c>
    </row>
    <row r="8" spans="1:10" ht="15.75">
      <c r="A8" s="451" t="s">
        <v>200</v>
      </c>
      <c r="B8" s="452">
        <f>FT!D219</f>
        <v>0</v>
      </c>
      <c r="C8" s="452">
        <f>'Forest Glen'!D332</f>
        <v>1221.3841996546328</v>
      </c>
      <c r="D8" s="452">
        <f>NC!D223</f>
        <v>0</v>
      </c>
      <c r="E8" s="452">
        <f>TB!D220</f>
        <v>0</v>
      </c>
      <c r="F8" s="452">
        <f>WH!D216</f>
        <v>0</v>
      </c>
      <c r="G8" s="452">
        <f>'A-N Drive'!D283</f>
        <v>0</v>
      </c>
      <c r="H8" s="452">
        <f>VRE!D161</f>
        <v>67.59932591913676</v>
      </c>
    </row>
    <row r="9" spans="1:10" ht="15.75">
      <c r="A9" s="453" t="s">
        <v>563</v>
      </c>
      <c r="B9" s="452">
        <f>FT!D220</f>
        <v>82.140825066035376</v>
      </c>
      <c r="C9" s="452">
        <f>'Forest Glen'!D333</f>
        <v>538.94921394484686</v>
      </c>
      <c r="D9" s="452">
        <f>NC!D224</f>
        <v>142.87961605035719</v>
      </c>
      <c r="E9" s="452">
        <f>TB!D221</f>
        <v>33.479021957079269</v>
      </c>
      <c r="F9" s="452">
        <f>WH!D217</f>
        <v>0</v>
      </c>
      <c r="G9" s="452">
        <f>'A-N Drive'!D284</f>
        <v>525.60937323424173</v>
      </c>
      <c r="H9" s="452">
        <f>VRE!D162</f>
        <v>0</v>
      </c>
    </row>
    <row r="10" spans="1:10" ht="15.75">
      <c r="A10" s="451" t="s">
        <v>201</v>
      </c>
      <c r="B10" s="452">
        <f>FT!D221</f>
        <v>3348.208595340896</v>
      </c>
      <c r="C10" s="452">
        <f>'Forest Glen'!D334</f>
        <v>4852.4382921695815</v>
      </c>
      <c r="D10" s="452">
        <f>NC!D225</f>
        <v>231.973552591886</v>
      </c>
      <c r="E10" s="452">
        <f>TB!D222</f>
        <v>702.92539949576087</v>
      </c>
      <c r="F10" s="452">
        <f>WH!D218</f>
        <v>498.46709695441422</v>
      </c>
      <c r="G10" s="452">
        <f>'A-N Drive'!D285</f>
        <v>11290.374819047209</v>
      </c>
      <c r="H10" s="452">
        <f>VRE!D163</f>
        <v>401.54950199655815</v>
      </c>
    </row>
    <row r="11" spans="1:10" ht="15.75">
      <c r="A11" s="454"/>
      <c r="B11" s="452"/>
      <c r="C11" s="452"/>
      <c r="D11" s="452"/>
      <c r="E11" s="452"/>
      <c r="F11" s="452"/>
      <c r="G11" s="452"/>
      <c r="H11" s="452"/>
    </row>
    <row r="12" spans="1:10" ht="15.75">
      <c r="A12" s="449" t="s">
        <v>0</v>
      </c>
      <c r="B12" s="450">
        <f>FT!D223</f>
        <v>15388.857525051855</v>
      </c>
      <c r="C12" s="450">
        <f>'Forest Glen'!D336</f>
        <v>23006.361373574651</v>
      </c>
      <c r="D12" s="450">
        <f>NC!D227</f>
        <v>3226.2821013742214</v>
      </c>
      <c r="E12" s="450">
        <f>TB!D224</f>
        <v>4126.0219062254337</v>
      </c>
      <c r="F12" s="450">
        <f>WH!D220</f>
        <v>4714.048151540499</v>
      </c>
      <c r="G12" s="450">
        <f>'A-N Drive'!D287</f>
        <v>40261.888291327465</v>
      </c>
      <c r="H12" s="450">
        <f>VRE!D165</f>
        <v>2225.4545901147217</v>
      </c>
    </row>
    <row r="13" spans="1:10" ht="15.75">
      <c r="A13" s="451" t="s">
        <v>599</v>
      </c>
      <c r="B13" s="452">
        <f>FT!D224</f>
        <v>161.89297569393042</v>
      </c>
      <c r="C13" s="452">
        <f>'Forest Glen'!D337</f>
        <v>1959.433881858384</v>
      </c>
      <c r="D13" s="452">
        <f>NC!D228</f>
        <v>153.93621043758986</v>
      </c>
      <c r="E13" s="452">
        <f>TB!D225</f>
        <v>427.07501343022</v>
      </c>
      <c r="F13" s="452">
        <f>WH!D221</f>
        <v>1277.4312685831214</v>
      </c>
      <c r="G13" s="452">
        <f>'A-N Drive'!D288</f>
        <v>-4318.1608592285538</v>
      </c>
      <c r="H13" s="452">
        <f>VRE!D166</f>
        <v>-155.16013501990619</v>
      </c>
    </row>
    <row r="14" spans="1:10" ht="15.75">
      <c r="A14" s="451" t="s">
        <v>600</v>
      </c>
      <c r="B14" s="452">
        <f>FT!D225</f>
        <v>4581.1183112000135</v>
      </c>
      <c r="C14" s="452">
        <f>'Forest Glen'!D338</f>
        <v>4270.6993737037756</v>
      </c>
      <c r="D14" s="452">
        <f>NC!D229</f>
        <v>650.3892532073088</v>
      </c>
      <c r="E14" s="452">
        <f>TB!D226</f>
        <v>1843.9900007761808</v>
      </c>
      <c r="F14" s="452">
        <f>WH!D222</f>
        <v>1077.8517664670542</v>
      </c>
      <c r="G14" s="452">
        <f>'A-N Drive'!D289</f>
        <v>10720.087671559191</v>
      </c>
      <c r="H14" s="452">
        <f>VRE!D167</f>
        <v>897.15468094907408</v>
      </c>
    </row>
    <row r="15" spans="1:10" ht="15.75">
      <c r="A15" s="451" t="s">
        <v>202</v>
      </c>
      <c r="B15" s="452">
        <f>FT!D226</f>
        <v>120.6186122141775</v>
      </c>
      <c r="C15" s="452">
        <f>'Forest Glen'!D339</f>
        <v>3350.8546898493432</v>
      </c>
      <c r="D15" s="452">
        <f>NC!D230</f>
        <v>13.584586919091837</v>
      </c>
      <c r="E15" s="452">
        <f>TB!D227</f>
        <v>74.282643093460621</v>
      </c>
      <c r="F15" s="452">
        <f>WH!D223</f>
        <v>181.62853241665093</v>
      </c>
      <c r="G15" s="452">
        <f>'A-N Drive'!D290</f>
        <v>6346.7689333420849</v>
      </c>
      <c r="H15" s="452">
        <f>VRE!D168</f>
        <v>40.658042164687124</v>
      </c>
    </row>
    <row r="16" spans="1:10" ht="15.75">
      <c r="A16" s="451" t="s">
        <v>203</v>
      </c>
      <c r="B16" s="452">
        <f>FT!D227</f>
        <v>889.52886142316947</v>
      </c>
      <c r="C16" s="452">
        <f>'Forest Glen'!D340</f>
        <v>3984.2587958551917</v>
      </c>
      <c r="D16" s="452">
        <f>NC!D231</f>
        <v>1094.1331081117189</v>
      </c>
      <c r="E16" s="452">
        <f>TB!D228</f>
        <v>387.85151277150521</v>
      </c>
      <c r="F16" s="452">
        <f>WH!D224</f>
        <v>62.9049879952506</v>
      </c>
      <c r="G16" s="452">
        <f>'A-N Drive'!D291</f>
        <v>2258.9408437011612</v>
      </c>
      <c r="H16" s="452">
        <f>VRE!D169</f>
        <v>138.92630520897467</v>
      </c>
    </row>
    <row r="17" spans="1:10" ht="15.75">
      <c r="A17" s="451" t="s">
        <v>607</v>
      </c>
      <c r="B17" s="452">
        <f>FT!D228</f>
        <v>1106.6644334725786</v>
      </c>
      <c r="C17" s="452">
        <f>'Forest Glen'!D341</f>
        <v>789.98018464033146</v>
      </c>
      <c r="D17" s="452">
        <f>NC!D232</f>
        <v>157.77897178658972</v>
      </c>
      <c r="E17" s="452">
        <f>TB!D229</f>
        <v>440.87170394862966</v>
      </c>
      <c r="F17" s="452">
        <f>WH!D225</f>
        <v>261.17341860110741</v>
      </c>
      <c r="G17" s="452">
        <f>'A-N Drive'!D292</f>
        <v>1928.6378333130181</v>
      </c>
      <c r="H17" s="452">
        <f>VRE!D170</f>
        <v>538.64042730199537</v>
      </c>
    </row>
    <row r="18" spans="1:10" ht="15.75">
      <c r="A18" s="451" t="s">
        <v>601</v>
      </c>
      <c r="B18" s="452">
        <f>FT!D229</f>
        <v>0.35594860153414154</v>
      </c>
      <c r="C18" s="452">
        <f>'Forest Glen'!D342</f>
        <v>11.354036084869556</v>
      </c>
      <c r="D18" s="452">
        <f>NC!D233</f>
        <v>3.6350495184439217E-2</v>
      </c>
      <c r="E18" s="452">
        <f>TB!D230</f>
        <v>0.30218141516208119</v>
      </c>
      <c r="F18" s="452">
        <f>WH!D226</f>
        <v>1.1028345285096683</v>
      </c>
      <c r="G18" s="452">
        <f>'A-N Drive'!D293</f>
        <v>26.680613632784674</v>
      </c>
      <c r="H18" s="452">
        <f>VRE!D171</f>
        <v>1.1788668846996206</v>
      </c>
    </row>
    <row r="19" spans="1:10" ht="15.75">
      <c r="A19" s="451" t="s">
        <v>205</v>
      </c>
      <c r="B19" s="452">
        <f>FT!D230</f>
        <v>8528.6783824464528</v>
      </c>
      <c r="C19" s="452">
        <f>'Forest Glen'!D343</f>
        <v>8639.7804115827548</v>
      </c>
      <c r="D19" s="452">
        <f>NC!D234</f>
        <v>1156.4236204167378</v>
      </c>
      <c r="E19" s="452">
        <f>TB!D231</f>
        <v>951.64885079027613</v>
      </c>
      <c r="F19" s="452">
        <f>WH!D227</f>
        <v>1851.9553429488053</v>
      </c>
      <c r="G19" s="452">
        <f>'A-N Drive'!D294</f>
        <v>23298.933255007782</v>
      </c>
      <c r="H19" s="452">
        <f>VRE!D172</f>
        <v>764.05640262519694</v>
      </c>
    </row>
    <row r="20" spans="1:10" ht="15.75">
      <c r="A20" s="454"/>
      <c r="B20" s="452"/>
      <c r="C20" s="452"/>
      <c r="D20" s="452"/>
      <c r="E20" s="452"/>
      <c r="F20" s="452"/>
      <c r="G20" s="452"/>
      <c r="H20" s="452"/>
    </row>
    <row r="21" spans="1:10" ht="15.75">
      <c r="A21" s="449" t="s">
        <v>184</v>
      </c>
      <c r="B21" s="450">
        <f>FT!D232</f>
        <v>8093.8053064620281</v>
      </c>
      <c r="C21" s="450">
        <f>'Forest Glen'!D345</f>
        <v>19578.337801002086</v>
      </c>
      <c r="D21" s="450">
        <f>NC!D236</f>
        <v>2032.0680873912825</v>
      </c>
      <c r="E21" s="450">
        <f>TB!D233</f>
        <v>2916.8208215621135</v>
      </c>
      <c r="F21" s="450">
        <f>WH!D229</f>
        <v>3545.0418897260606</v>
      </c>
      <c r="G21" s="450">
        <f>'A-N Drive'!D296</f>
        <v>21967.18781834095</v>
      </c>
      <c r="H21" s="450">
        <f>VRE!D174</f>
        <v>1489.2046472819429</v>
      </c>
    </row>
    <row r="22" spans="1:10" ht="15.75">
      <c r="A22" s="449" t="s">
        <v>185</v>
      </c>
      <c r="B22" s="455">
        <f>FT!D233</f>
        <v>0.19681022319064409</v>
      </c>
      <c r="C22" s="455">
        <f>'Forest Glen'!D346</f>
        <v>4.2084625550056369E-2</v>
      </c>
      <c r="D22" s="455">
        <f>NC!D237</f>
        <v>0.18346566219723701</v>
      </c>
      <c r="E22" s="455">
        <f>TB!D234</f>
        <v>0.35017218897192554</v>
      </c>
      <c r="F22" s="455">
        <f>WH!D230</f>
        <v>0.35620999086033467</v>
      </c>
      <c r="G22" s="455">
        <f>'A-N Drive'!D297</f>
        <v>0.21724526246414239</v>
      </c>
      <c r="H22" s="455">
        <f>VRE!D175</f>
        <v>0.24253213171585</v>
      </c>
    </row>
    <row r="23" spans="1:10" ht="15.75">
      <c r="A23" s="464" t="s">
        <v>186</v>
      </c>
      <c r="B23" s="456">
        <f>FT!D234</f>
        <v>2.1094924428144268</v>
      </c>
      <c r="C23" s="456">
        <f>'Forest Glen'!D347</f>
        <v>1.4490412450799066</v>
      </c>
      <c r="D23" s="456">
        <f>NC!D238</f>
        <v>2.7015945748400125</v>
      </c>
      <c r="E23" s="456">
        <f>TB!D235</f>
        <v>3.412188393276411</v>
      </c>
      <c r="F23" s="456">
        <f>WH!D231</f>
        <v>4.0325260056552024</v>
      </c>
      <c r="G23" s="456">
        <f>'A-N Drive'!D298</f>
        <v>2.200740501369626</v>
      </c>
      <c r="H23" s="456">
        <f>VRE!D176</f>
        <v>3.0226889818858433</v>
      </c>
    </row>
    <row r="24" spans="1:10" ht="15.75">
      <c r="A24" s="462"/>
      <c r="B24" s="463"/>
      <c r="C24" s="463"/>
      <c r="D24" s="463"/>
      <c r="E24" s="463"/>
      <c r="F24" s="463"/>
      <c r="G24" s="462"/>
      <c r="H24" s="463"/>
    </row>
    <row r="25" spans="1:10">
      <c r="A25" s="475"/>
      <c r="B25" s="475"/>
      <c r="C25" s="475"/>
      <c r="D25" s="475"/>
      <c r="E25" s="475"/>
      <c r="F25" s="475"/>
      <c r="G25" s="475"/>
      <c r="H25" s="475"/>
      <c r="I25" s="493"/>
      <c r="J25" s="493"/>
    </row>
    <row r="26" spans="1:10" ht="96" customHeight="1">
      <c r="A26" s="457" t="s">
        <v>621</v>
      </c>
      <c r="B26" s="473" t="s">
        <v>598</v>
      </c>
      <c r="C26" s="473" t="s">
        <v>595</v>
      </c>
      <c r="D26" s="473" t="s">
        <v>596</v>
      </c>
      <c r="E26" s="473" t="s">
        <v>597</v>
      </c>
      <c r="F26" s="473" t="s">
        <v>620</v>
      </c>
      <c r="G26" s="473" t="s">
        <v>593</v>
      </c>
      <c r="H26" s="473" t="s">
        <v>594</v>
      </c>
    </row>
    <row r="27" spans="1:10" ht="15.75">
      <c r="A27" s="449" t="s">
        <v>1</v>
      </c>
      <c r="B27" s="450">
        <f>FT!D238</f>
        <v>5542.9997267020726</v>
      </c>
      <c r="C27" s="450">
        <f>'Forest Glen'!D351</f>
        <v>18309.408702255889</v>
      </c>
      <c r="D27" s="450">
        <f>NC!D242</f>
        <v>1014.104137234682</v>
      </c>
      <c r="E27" s="450">
        <f>TB!D239</f>
        <v>913.95976123246328</v>
      </c>
      <c r="F27" s="450">
        <f>WH!D235</f>
        <v>941.77281943455023</v>
      </c>
      <c r="G27" s="450">
        <f>'A-N Drive'!D302</f>
        <v>13851.229912864164</v>
      </c>
      <c r="H27" s="450">
        <f>VRE!D180</f>
        <v>527.11863060638086</v>
      </c>
    </row>
    <row r="28" spans="1:10" ht="15.75">
      <c r="A28" s="451" t="s">
        <v>199</v>
      </c>
      <c r="B28" s="452">
        <f>FT!D239</f>
        <v>3503.8921523162858</v>
      </c>
      <c r="C28" s="452">
        <f>'Forest Glen'!D352</f>
        <v>14176.776496633214</v>
      </c>
      <c r="D28" s="452">
        <f>NC!D243</f>
        <v>732.59427300209722</v>
      </c>
      <c r="E28" s="452">
        <f>TB!D240</f>
        <v>438.10811424578566</v>
      </c>
      <c r="F28" s="452">
        <f>WH!D236</f>
        <v>622.65263341776563</v>
      </c>
      <c r="G28" s="452">
        <f>'A-N Drive'!D303</f>
        <v>6043.4319606952567</v>
      </c>
      <c r="H28" s="452">
        <f>VRE!D181</f>
        <v>247.25123934425159</v>
      </c>
    </row>
    <row r="29" spans="1:10" ht="15.75">
      <c r="A29" s="451" t="s">
        <v>200</v>
      </c>
      <c r="B29" s="452">
        <f>FT!D240</f>
        <v>0</v>
      </c>
      <c r="C29" s="452">
        <f>'Forest Glen'!D353</f>
        <v>746.78814157032139</v>
      </c>
      <c r="D29" s="452">
        <f>NC!D244</f>
        <v>0</v>
      </c>
      <c r="E29" s="452">
        <f>TB!D241</f>
        <v>0</v>
      </c>
      <c r="F29" s="452">
        <f>WH!D237</f>
        <v>0</v>
      </c>
      <c r="G29" s="452">
        <f>'A-N Drive'!D304</f>
        <v>0</v>
      </c>
      <c r="H29" s="452">
        <f>VRE!D182</f>
        <v>43.475921249426669</v>
      </c>
    </row>
    <row r="30" spans="1:10" ht="15.75">
      <c r="A30" s="453" t="s">
        <v>563</v>
      </c>
      <c r="B30" s="452">
        <f>FT!D241</f>
        <v>76.114246932096194</v>
      </c>
      <c r="C30" s="452">
        <f>'Forest Glen'!D354</f>
        <v>470.08266159392718</v>
      </c>
      <c r="D30" s="452">
        <f>NC!D245</f>
        <v>132.39670247866533</v>
      </c>
      <c r="E30" s="452">
        <f>TB!D242</f>
        <v>31.022704510669396</v>
      </c>
      <c r="F30" s="452">
        <f>WH!D238</f>
        <v>0</v>
      </c>
      <c r="G30" s="452">
        <f>'A-N Drive'!D305</f>
        <v>496.62900760814267</v>
      </c>
      <c r="H30" s="452">
        <f>VRE!D183</f>
        <v>0</v>
      </c>
    </row>
    <row r="31" spans="1:10" ht="15.75">
      <c r="A31" s="451" t="s">
        <v>201</v>
      </c>
      <c r="B31" s="452">
        <f>FT!D242</f>
        <v>1962.9933274536909</v>
      </c>
      <c r="C31" s="452">
        <f>'Forest Glen'!D355</f>
        <v>2915.761402458425</v>
      </c>
      <c r="D31" s="452">
        <f>NC!D246</f>
        <v>149.11316175391937</v>
      </c>
      <c r="E31" s="452">
        <f>TB!D243</f>
        <v>444.82894247600825</v>
      </c>
      <c r="F31" s="452">
        <f>WH!D239</f>
        <v>319.1201860167846</v>
      </c>
      <c r="G31" s="452">
        <f>'A-N Drive'!D306</f>
        <v>7311.1689445607653</v>
      </c>
      <c r="H31" s="452">
        <f>VRE!D184</f>
        <v>236.39147001270263</v>
      </c>
    </row>
    <row r="32" spans="1:10" ht="15.75">
      <c r="A32" s="454"/>
      <c r="B32" s="452"/>
      <c r="C32" s="452"/>
      <c r="D32" s="452"/>
      <c r="E32" s="452"/>
      <c r="F32" s="452"/>
      <c r="G32" s="452"/>
      <c r="H32" s="452"/>
    </row>
    <row r="33" spans="1:8" ht="15.75">
      <c r="A33" s="449" t="s">
        <v>0</v>
      </c>
      <c r="B33" s="450">
        <f>FT!D244</f>
        <v>9895.7584115545433</v>
      </c>
      <c r="C33" s="450">
        <f>'Forest Glen'!D357</f>
        <v>13896.052914032998</v>
      </c>
      <c r="D33" s="450">
        <f>NC!D248</f>
        <v>2074.4979194770699</v>
      </c>
      <c r="E33" s="450">
        <f>TB!D245</f>
        <v>2612.697905414735</v>
      </c>
      <c r="F33" s="450">
        <f>WH!D241</f>
        <v>3019.375693201956</v>
      </c>
      <c r="G33" s="450">
        <f>'A-N Drive'!D308</f>
        <v>25914.017644854488</v>
      </c>
      <c r="H33" s="450">
        <f>VRE!D186</f>
        <v>1316.3935166470062</v>
      </c>
    </row>
    <row r="34" spans="1:8" ht="15.75">
      <c r="A34" s="451" t="s">
        <v>599</v>
      </c>
      <c r="B34" s="452">
        <f>FT!D245</f>
        <v>94.0913459406177</v>
      </c>
      <c r="C34" s="452">
        <f>'Forest Glen'!D358</f>
        <v>1181.0278523983322</v>
      </c>
      <c r="D34" s="452">
        <f>NC!D249</f>
        <v>97.377978963550973</v>
      </c>
      <c r="E34" s="452">
        <f>TB!D246</f>
        <v>265.79193257431302</v>
      </c>
      <c r="F34" s="452">
        <f>WH!D242</f>
        <v>815.08666124075557</v>
      </c>
      <c r="G34" s="452">
        <f>'A-N Drive'!D309</f>
        <v>-2768.6575419802871</v>
      </c>
      <c r="H34" s="452">
        <f>VRE!D187</f>
        <v>-92.810745494959136</v>
      </c>
    </row>
    <row r="35" spans="1:8" ht="15.75">
      <c r="A35" s="451" t="s">
        <v>600</v>
      </c>
      <c r="B35" s="452">
        <f>FT!D246</f>
        <v>2951.1312388925398</v>
      </c>
      <c r="C35" s="452">
        <f>'Forest Glen'!D359</f>
        <v>2568.5746926210627</v>
      </c>
      <c r="D35" s="452">
        <f>NC!D250</f>
        <v>418.07178806772527</v>
      </c>
      <c r="E35" s="452">
        <f>TB!D247</f>
        <v>1166.9234353602967</v>
      </c>
      <c r="F35" s="452">
        <f>WH!D243</f>
        <v>690.04405368995128</v>
      </c>
      <c r="G35" s="452">
        <f>'A-N Drive'!D310</f>
        <v>6912.6537499149717</v>
      </c>
      <c r="H35" s="452">
        <f>VRE!D188</f>
        <v>528.15334797787068</v>
      </c>
    </row>
    <row r="36" spans="1:8" ht="15.75">
      <c r="A36" s="451" t="s">
        <v>202</v>
      </c>
      <c r="B36" s="452">
        <f>FT!D247</f>
        <v>66.053281742860662</v>
      </c>
      <c r="C36" s="452">
        <f>'Forest Glen'!D360</f>
        <v>2009.1680921405118</v>
      </c>
      <c r="D36" s="452">
        <f>NC!D251</f>
        <v>8.2080086769729235</v>
      </c>
      <c r="E36" s="452">
        <f>TB!D248</f>
        <v>45.517292251815476</v>
      </c>
      <c r="F36" s="452">
        <f>WH!D244</f>
        <v>115.59694880179312</v>
      </c>
      <c r="G36" s="452">
        <f>'A-N Drive'!D311</f>
        <v>4109.6389985706546</v>
      </c>
      <c r="H36" s="452">
        <f>VRE!D189</f>
        <v>24.36229194431829</v>
      </c>
    </row>
    <row r="37" spans="1:8" ht="15.75">
      <c r="A37" s="451" t="s">
        <v>203</v>
      </c>
      <c r="B37" s="452">
        <f>FT!D248</f>
        <v>569.60877554623892</v>
      </c>
      <c r="C37" s="452">
        <f>'Forest Glen'!D361</f>
        <v>2434.1721023582122</v>
      </c>
      <c r="D37" s="452">
        <f>NC!D252</f>
        <v>703.31141333690141</v>
      </c>
      <c r="E37" s="452">
        <f>TB!D249</f>
        <v>245.44223097875005</v>
      </c>
      <c r="F37" s="452">
        <f>WH!D245</f>
        <v>40.271968988684925</v>
      </c>
      <c r="G37" s="452">
        <f>'A-N Drive'!D312</f>
        <v>1469.2883247206041</v>
      </c>
      <c r="H37" s="452">
        <f>VRE!D190</f>
        <v>81.785666146995723</v>
      </c>
    </row>
    <row r="38" spans="1:8" ht="15.75">
      <c r="A38" s="451" t="s">
        <v>607</v>
      </c>
      <c r="B38" s="452">
        <f>FT!D249</f>
        <v>734.7151816897092</v>
      </c>
      <c r="C38" s="452">
        <f>'Forest Glen'!D362</f>
        <v>483.2554821505957</v>
      </c>
      <c r="D38" s="452">
        <f>NC!D253</f>
        <v>104.1534586486562</v>
      </c>
      <c r="E38" s="452">
        <f>TB!D250</f>
        <v>286.60436321112417</v>
      </c>
      <c r="F38" s="452">
        <f>WH!D246</f>
        <v>172.0424510819457</v>
      </c>
      <c r="G38" s="452">
        <f>'A-N Drive'!D313</f>
        <v>1279.6247472456971</v>
      </c>
      <c r="H38" s="452">
        <f>VRE!D191</f>
        <v>324.41032847499662</v>
      </c>
    </row>
    <row r="39" spans="1:8" ht="15.75">
      <c r="A39" s="451" t="s">
        <v>601</v>
      </c>
      <c r="B39" s="452">
        <f>FT!D250</f>
        <v>0.19035923526949816</v>
      </c>
      <c r="C39" s="452">
        <f>'Forest Glen'!D363</f>
        <v>6.818882073387166</v>
      </c>
      <c r="D39" s="452">
        <f>NC!D254</f>
        <v>2.3366186393706787E-2</v>
      </c>
      <c r="E39" s="452">
        <f>TB!D251</f>
        <v>0.19122802994297386</v>
      </c>
      <c r="F39" s="452">
        <f>WH!D247</f>
        <v>0.70603809566175568</v>
      </c>
      <c r="G39" s="452">
        <f>'A-N Drive'!D314</f>
        <v>17.323391138536138</v>
      </c>
      <c r="H39" s="452">
        <f>VRE!D192</f>
        <v>0.69399681592887907</v>
      </c>
    </row>
    <row r="40" spans="1:8" ht="15.75">
      <c r="A40" s="451" t="s">
        <v>205</v>
      </c>
      <c r="B40" s="452">
        <f>FT!D251</f>
        <v>5479.9682285073068</v>
      </c>
      <c r="C40" s="452">
        <f>'Forest Glen'!D364</f>
        <v>5213.0358102908958</v>
      </c>
      <c r="D40" s="452">
        <f>NC!D255</f>
        <v>743.35190559686964</v>
      </c>
      <c r="E40" s="452">
        <f>TB!D252</f>
        <v>602.22742300849245</v>
      </c>
      <c r="F40" s="452">
        <f>WH!D248</f>
        <v>1185.6275713031637</v>
      </c>
      <c r="G40" s="452">
        <f>'A-N Drive'!D315</f>
        <v>14894.145975244313</v>
      </c>
      <c r="H40" s="452">
        <f>VRE!D193</f>
        <v>449.79863078185508</v>
      </c>
    </row>
    <row r="41" spans="1:8" ht="15.75">
      <c r="A41" s="454"/>
      <c r="B41" s="452"/>
      <c r="C41" s="452"/>
      <c r="D41" s="452"/>
      <c r="E41" s="452"/>
      <c r="F41" s="452"/>
      <c r="G41" s="452"/>
      <c r="H41" s="452"/>
    </row>
    <row r="42" spans="1:8" ht="15.75">
      <c r="A42" s="449" t="s">
        <v>184</v>
      </c>
      <c r="B42" s="450">
        <f>FT!D253</f>
        <v>4352.7586848524679</v>
      </c>
      <c r="C42" s="450">
        <f>'Forest Glen'!D366</f>
        <v>3276.0753698429221</v>
      </c>
      <c r="D42" s="450">
        <f>NC!D257</f>
        <v>1060.3937822423879</v>
      </c>
      <c r="E42" s="450">
        <f>TB!D254</f>
        <v>1698.7381441822713</v>
      </c>
      <c r="F42" s="450">
        <f>WH!D250</f>
        <v>2077.6028737674055</v>
      </c>
      <c r="G42" s="450">
        <f>'A-N Drive'!D317</f>
        <v>12062.787731990324</v>
      </c>
      <c r="H42" s="450">
        <f>VRE!D195</f>
        <v>789.27488604062535</v>
      </c>
    </row>
    <row r="43" spans="1:8" ht="15.75">
      <c r="A43" s="449" t="s">
        <v>185</v>
      </c>
      <c r="B43" s="455">
        <f>FT!D254</f>
        <v>0.15206965409940509</v>
      </c>
      <c r="C43" s="455">
        <f>'Forest Glen'!D367</f>
        <v>3.1281909500543706E-3</v>
      </c>
      <c r="D43" s="455">
        <f>NC!D258</f>
        <v>0.13922395519921682</v>
      </c>
      <c r="E43" s="455">
        <f>TB!D255</f>
        <v>0.29969846228138952</v>
      </c>
      <c r="F43" s="455">
        <f>WH!D251</f>
        <v>0.30551055194967058</v>
      </c>
      <c r="G43" s="455">
        <f>'A-N Drive'!D318</f>
        <v>0.17174076667109031</v>
      </c>
      <c r="H43" s="455">
        <f>VRE!D196</f>
        <v>0.19608233239930487</v>
      </c>
    </row>
    <row r="44" spans="1:8" ht="15.75">
      <c r="A44" s="464" t="s">
        <v>186</v>
      </c>
      <c r="B44" s="456">
        <f>FT!D255</f>
        <v>1.7852713150758603</v>
      </c>
      <c r="C44" s="456">
        <f>'Forest Glen'!D368</f>
        <v>1.0294979551330263</v>
      </c>
      <c r="D44" s="456">
        <f>NC!D259</f>
        <v>2.0456458496796306</v>
      </c>
      <c r="E44" s="456">
        <f>TB!D256</f>
        <v>2.8586574773177591</v>
      </c>
      <c r="F44" s="456">
        <f>WH!D252</f>
        <v>3.2060552512173999</v>
      </c>
      <c r="G44" s="456">
        <f>'A-N Drive'!D319</f>
        <v>1.8708820666377903</v>
      </c>
      <c r="H44" s="456">
        <f>VRE!D197</f>
        <v>2.497338246482899</v>
      </c>
    </row>
    <row r="48" spans="1:8" ht="23.25">
      <c r="A48" s="494" t="s">
        <v>627</v>
      </c>
    </row>
    <row r="49" spans="1:4" ht="23.25">
      <c r="A49" s="494"/>
    </row>
    <row r="50" spans="1:4" ht="15.75">
      <c r="A50" s="501" t="s">
        <v>628</v>
      </c>
      <c r="B50" s="296"/>
    </row>
    <row r="51" spans="1:4" ht="15.75">
      <c r="A51" s="495" t="s">
        <v>185</v>
      </c>
      <c r="B51" s="496">
        <f>IRR(B99:Y99)</f>
        <v>0.15532060533522704</v>
      </c>
    </row>
    <row r="52" spans="1:4" ht="15.75">
      <c r="A52" s="464" t="s">
        <v>618</v>
      </c>
      <c r="B52" s="498">
        <f>-SUM(B98:Y98)/SUM(B97:Y97)</f>
        <v>2.2929134444510257</v>
      </c>
    </row>
    <row r="53" spans="1:4" ht="15.75">
      <c r="A53" s="501" t="s">
        <v>602</v>
      </c>
      <c r="B53" s="296"/>
    </row>
    <row r="54" spans="1:4" ht="15.75">
      <c r="A54" s="495" t="s">
        <v>185</v>
      </c>
      <c r="B54" s="496">
        <f>IRR(B102:Y102)</f>
        <v>0.12167049061672537</v>
      </c>
    </row>
    <row r="55" spans="1:4" ht="15.75">
      <c r="A55" s="464" t="s">
        <v>618</v>
      </c>
      <c r="B55" s="498">
        <f>(SUM(FT!F231:AC231)+ SUM('Forest Glen'!F344:AC344)+ SUM(NC!F235:AC235)+ SUM(TB!F232:AC232)+ SUM(WH!F228:AC228)+ SUM('A-N Drive'!F295:AC295)+ SUM(VRE!F173:AC173))/- (SUM(FT!F222:AC222)+ SUM('Forest Glen'!F335:AC335)+ SUM(NC!F226:AC226)+ SUM(TB!F223:AC223)+ SUM(WH!F219:AC219)+ SUM('A-N Drive'!F286:AC286)+ SUM(VRE!F164:AC164))</f>
        <v>1.9024950126149001</v>
      </c>
    </row>
    <row r="56" spans="1:4" ht="15.75">
      <c r="A56" s="501" t="s">
        <v>619</v>
      </c>
      <c r="B56" s="296"/>
    </row>
    <row r="57" spans="1:4" ht="15.75">
      <c r="A57" s="495" t="s">
        <v>185</v>
      </c>
      <c r="B57" s="496">
        <f>IRR(B105:Y105)</f>
        <v>7.9738883490866469E-2</v>
      </c>
    </row>
    <row r="58" spans="1:4" ht="15.75">
      <c r="A58" s="464" t="s">
        <v>618</v>
      </c>
      <c r="B58" s="498">
        <f>(SUM(FT!F252:AC252)+ SUM('Forest Glen'!F365:AC365)+ SUM(NC!F256:AC256)+ SUM(TB!F253:AC253)+ SUM(WH!F249:AC249)+ SUM('A-N Drive'!F316:AC316)+ SUM(VRE!F194:AC194))/- (SUM(FT!F243:AC243)+ SUM('Forest Glen'!F356:AC356)+ SUM(NC!F247:AC247)+ SUM(TB!F244:AC244)+ SUM(WH!F240:AC240)+ SUM('A-N Drive'!F307:AC307)+ SUM(VRE!F185:AC185))</f>
        <v>1.5198378875852263</v>
      </c>
    </row>
    <row r="59" spans="1:4" ht="23.25">
      <c r="A59" s="494"/>
    </row>
    <row r="60" spans="1:4" ht="31.5">
      <c r="A60" s="501" t="s">
        <v>634</v>
      </c>
      <c r="B60" s="504" t="s">
        <v>632</v>
      </c>
      <c r="C60" s="504" t="s">
        <v>633</v>
      </c>
      <c r="D60" s="514" t="s">
        <v>629</v>
      </c>
    </row>
    <row r="61" spans="1:4">
      <c r="A61" s="497" t="s">
        <v>367</v>
      </c>
      <c r="B61" s="511">
        <f>J112</f>
        <v>6082116.6469756439</v>
      </c>
      <c r="C61" s="511">
        <f>Y112</f>
        <v>7019596.8453293415</v>
      </c>
      <c r="D61" s="515">
        <f>SUM(B112:Y112)</f>
        <v>140867119.60534129</v>
      </c>
    </row>
    <row r="62" spans="1:4">
      <c r="A62" s="497" t="s">
        <v>277</v>
      </c>
      <c r="B62" s="511">
        <f t="shared" ref="B62:B71" si="0">J113</f>
        <v>175495.29553090644</v>
      </c>
      <c r="C62" s="511">
        <f t="shared" ref="C62:C71" si="1">Y113</f>
        <v>273617.62751397601</v>
      </c>
      <c r="D62" s="515">
        <f t="shared" ref="D62:D71" si="2">SUM(B113:Y113)</f>
        <v>4420421.8107857704</v>
      </c>
    </row>
    <row r="63" spans="1:4">
      <c r="A63" s="497" t="s">
        <v>413</v>
      </c>
      <c r="B63" s="511">
        <f t="shared" si="0"/>
        <v>290619.81767202937</v>
      </c>
      <c r="C63" s="511">
        <f t="shared" si="1"/>
        <v>337400.5861325154</v>
      </c>
      <c r="D63" s="515">
        <f t="shared" si="2"/>
        <v>6678709.1993840486</v>
      </c>
    </row>
    <row r="64" spans="1:4">
      <c r="A64" s="497" t="s">
        <v>368</v>
      </c>
      <c r="B64" s="511">
        <f t="shared" si="0"/>
        <v>3957.2680960480302</v>
      </c>
      <c r="C64" s="511">
        <f t="shared" si="1"/>
        <v>4001.4220381664668</v>
      </c>
      <c r="D64" s="515">
        <f t="shared" si="2"/>
        <v>77273.216824063726</v>
      </c>
    </row>
    <row r="65" spans="1:25">
      <c r="A65" s="499" t="s">
        <v>630</v>
      </c>
      <c r="B65" s="511">
        <f t="shared" si="0"/>
        <v>205821.60850891776</v>
      </c>
      <c r="C65" s="511">
        <f t="shared" si="1"/>
        <v>235954.94010771721</v>
      </c>
      <c r="D65" s="515">
        <f t="shared" si="2"/>
        <v>4678107.0727644758</v>
      </c>
    </row>
    <row r="66" spans="1:25" ht="15.75">
      <c r="A66" s="503" t="s">
        <v>436</v>
      </c>
      <c r="B66" s="512"/>
      <c r="C66" s="512"/>
      <c r="D66" s="516"/>
    </row>
    <row r="67" spans="1:25" ht="15">
      <c r="A67" s="502" t="s">
        <v>505</v>
      </c>
      <c r="B67" s="511">
        <f t="shared" si="0"/>
        <v>380472.89045198972</v>
      </c>
      <c r="C67" s="511">
        <f t="shared" si="1"/>
        <v>438627.82827698952</v>
      </c>
      <c r="D67" s="515">
        <f t="shared" si="2"/>
        <v>8682894.6611708999</v>
      </c>
    </row>
    <row r="68" spans="1:25" ht="15">
      <c r="A68" s="502" t="s">
        <v>506</v>
      </c>
      <c r="B68" s="513">
        <f t="shared" si="0"/>
        <v>-80440.668730189544</v>
      </c>
      <c r="C68" s="513">
        <f t="shared" si="1"/>
        <v>-91036.436233408895</v>
      </c>
      <c r="D68" s="517">
        <f t="shared" si="2"/>
        <v>-1846819.0210333362</v>
      </c>
    </row>
    <row r="69" spans="1:25" ht="15">
      <c r="A69" s="502" t="s">
        <v>507</v>
      </c>
      <c r="B69" s="513">
        <f t="shared" si="0"/>
        <v>-237523.0012731028</v>
      </c>
      <c r="C69" s="513">
        <f t="shared" si="1"/>
        <v>-275665.00248217402</v>
      </c>
      <c r="D69" s="517">
        <f t="shared" si="2"/>
        <v>-5439803.6340094935</v>
      </c>
    </row>
    <row r="70" spans="1:25" ht="15">
      <c r="A70" s="502" t="s">
        <v>508</v>
      </c>
      <c r="B70" s="513">
        <f t="shared" si="0"/>
        <v>-1507332.9032265265</v>
      </c>
      <c r="C70" s="513">
        <f t="shared" si="1"/>
        <v>-1853018.9699608213</v>
      </c>
      <c r="D70" s="517">
        <f t="shared" si="2"/>
        <v>-35196095.212802149</v>
      </c>
    </row>
    <row r="71" spans="1:25" ht="15">
      <c r="A71" s="502" t="s">
        <v>509</v>
      </c>
      <c r="B71" s="510">
        <f t="shared" si="0"/>
        <v>228679.87281566468</v>
      </c>
      <c r="C71" s="510">
        <f t="shared" si="1"/>
        <v>278900.59496171516</v>
      </c>
      <c r="D71" s="518">
        <f t="shared" si="2"/>
        <v>5415811.4274366722</v>
      </c>
    </row>
    <row r="72" spans="1:25">
      <c r="A72" s="507" t="s">
        <v>636</v>
      </c>
      <c r="B72" s="539"/>
      <c r="C72" s="545"/>
      <c r="D72" s="546"/>
    </row>
    <row r="73" spans="1:25">
      <c r="A73" s="497" t="s">
        <v>367</v>
      </c>
      <c r="B73" s="540"/>
      <c r="C73" s="541"/>
      <c r="D73" s="544">
        <f>Z124</f>
        <v>-79.443285247638997</v>
      </c>
    </row>
    <row r="74" spans="1:25">
      <c r="A74" s="497" t="s">
        <v>277</v>
      </c>
      <c r="B74" s="542"/>
      <c r="C74" s="543"/>
      <c r="D74" s="544">
        <f t="shared" ref="D74:D75" si="3">Z125</f>
        <v>30.797517319283749</v>
      </c>
    </row>
    <row r="75" spans="1:25">
      <c r="A75" s="497" t="s">
        <v>635</v>
      </c>
      <c r="B75" s="218"/>
      <c r="C75" s="218"/>
      <c r="D75" s="544">
        <f t="shared" si="3"/>
        <v>-28.933970298331136</v>
      </c>
    </row>
    <row r="76" spans="1:25" ht="15">
      <c r="A76" s="505"/>
      <c r="B76" s="76"/>
      <c r="C76" s="76"/>
      <c r="D76" s="76"/>
    </row>
    <row r="77" spans="1:25" ht="23.25">
      <c r="A77" s="494" t="s">
        <v>631</v>
      </c>
      <c r="B77" s="76"/>
      <c r="C77" s="76"/>
      <c r="D77" s="76"/>
    </row>
    <row r="78" spans="1:25" ht="15">
      <c r="A78" s="505"/>
      <c r="B78" s="76"/>
      <c r="C78" s="76"/>
      <c r="D78" s="76"/>
    </row>
    <row r="80" spans="1:25">
      <c r="B80" s="476">
        <v>2012</v>
      </c>
      <c r="C80" s="476">
        <v>2013</v>
      </c>
      <c r="D80" s="476">
        <v>2014</v>
      </c>
      <c r="E80" s="476">
        <v>2015</v>
      </c>
      <c r="F80" s="476">
        <v>2016</v>
      </c>
      <c r="G80" s="476">
        <v>2017</v>
      </c>
      <c r="H80" s="476">
        <v>2018</v>
      </c>
      <c r="I80" s="476">
        <v>2019</v>
      </c>
      <c r="J80" s="476">
        <v>2020</v>
      </c>
      <c r="K80" s="476">
        <v>2021</v>
      </c>
      <c r="L80" s="476">
        <v>2022</v>
      </c>
      <c r="M80" s="476">
        <v>2023</v>
      </c>
      <c r="N80" s="476">
        <v>2024</v>
      </c>
      <c r="O80" s="476">
        <v>2025</v>
      </c>
      <c r="P80" s="476">
        <v>2026</v>
      </c>
      <c r="Q80" s="476">
        <v>2027</v>
      </c>
      <c r="R80" s="476">
        <v>2028</v>
      </c>
      <c r="S80" s="476">
        <v>2029</v>
      </c>
      <c r="T80" s="476">
        <v>2030</v>
      </c>
      <c r="U80" s="476">
        <v>2031</v>
      </c>
      <c r="V80" s="476">
        <v>2032</v>
      </c>
      <c r="W80" s="476">
        <v>2033</v>
      </c>
      <c r="X80" s="476">
        <v>2034</v>
      </c>
      <c r="Y80" s="476">
        <v>2035</v>
      </c>
    </row>
    <row r="81" spans="1:25">
      <c r="B81" s="476" t="s">
        <v>18</v>
      </c>
      <c r="C81" s="477" t="s">
        <v>19</v>
      </c>
      <c r="D81" s="477" t="s">
        <v>20</v>
      </c>
      <c r="E81" s="477" t="s">
        <v>21</v>
      </c>
      <c r="F81" s="477" t="s">
        <v>22</v>
      </c>
      <c r="G81" s="477" t="s">
        <v>23</v>
      </c>
      <c r="H81" s="477" t="s">
        <v>24</v>
      </c>
      <c r="I81" s="477" t="s">
        <v>25</v>
      </c>
      <c r="J81" s="477" t="s">
        <v>26</v>
      </c>
      <c r="K81" s="477" t="s">
        <v>27</v>
      </c>
      <c r="L81" s="477" t="s">
        <v>28</v>
      </c>
      <c r="M81" s="477" t="s">
        <v>29</v>
      </c>
      <c r="N81" s="477" t="s">
        <v>30</v>
      </c>
      <c r="O81" s="477" t="s">
        <v>31</v>
      </c>
      <c r="P81" s="477" t="s">
        <v>32</v>
      </c>
      <c r="Q81" s="477" t="s">
        <v>33</v>
      </c>
      <c r="R81" s="477" t="s">
        <v>34</v>
      </c>
      <c r="S81" s="477" t="s">
        <v>35</v>
      </c>
      <c r="T81" s="477" t="s">
        <v>36</v>
      </c>
      <c r="U81" s="477" t="s">
        <v>123</v>
      </c>
      <c r="V81" s="477" t="s">
        <v>245</v>
      </c>
      <c r="W81" s="477" t="s">
        <v>246</v>
      </c>
      <c r="X81" s="477" t="s">
        <v>247</v>
      </c>
      <c r="Y81" s="477" t="s">
        <v>248</v>
      </c>
    </row>
    <row r="82" spans="1:25">
      <c r="A82" s="519" t="s">
        <v>598</v>
      </c>
      <c r="B82" s="478">
        <f>FT!F201</f>
        <v>0</v>
      </c>
      <c r="C82" s="478">
        <f>FT!G201</f>
        <v>-1878783.4197268209</v>
      </c>
      <c r="D82" s="478">
        <f>FT!H201</f>
        <v>-2556953.5671703024</v>
      </c>
      <c r="E82" s="478">
        <f>FT!I201</f>
        <v>-124304.89819363187</v>
      </c>
      <c r="F82" s="478">
        <f>FT!J201</f>
        <v>-129361.13815975349</v>
      </c>
      <c r="G82" s="478">
        <f>FT!K201</f>
        <v>-134975.9947600411</v>
      </c>
      <c r="H82" s="478">
        <f>FT!L201</f>
        <v>-141225.88675004843</v>
      </c>
      <c r="I82" s="478">
        <f>FT!M201</f>
        <v>-148197.68697108931</v>
      </c>
      <c r="J82" s="478">
        <f>FT!N201</f>
        <v>-155990.152469169</v>
      </c>
      <c r="K82" s="478">
        <f>FT!O201</f>
        <v>-164045.28359030216</v>
      </c>
      <c r="L82" s="478">
        <f>FT!P201</f>
        <v>-173160.97213522618</v>
      </c>
      <c r="M82" s="478">
        <f>FT!Q201</f>
        <v>-183482.30235951557</v>
      </c>
      <c r="N82" s="478">
        <f>FT!R201</f>
        <v>-195174.20604490774</v>
      </c>
      <c r="O82" s="478">
        <f>FT!S201</f>
        <v>-208424.17764088136</v>
      </c>
      <c r="P82" s="478">
        <f>FT!T201</f>
        <v>-223445.36083760398</v>
      </c>
      <c r="Q82" s="478">
        <f>FT!U201</f>
        <v>-240480.05738205824</v>
      </c>
      <c r="R82" s="478">
        <f>FT!V201</f>
        <v>-259803.7159002136</v>
      </c>
      <c r="S82" s="478">
        <f>FT!W201</f>
        <v>-281729.46639007248</v>
      </c>
      <c r="T82" s="478">
        <f>FT!X201</f>
        <v>-306613.27503336396</v>
      </c>
      <c r="U82" s="478">
        <f>FT!Y201</f>
        <v>-334859.80418547743</v>
      </c>
      <c r="V82" s="478">
        <f>FT!Z201</f>
        <v>-366929.07401201996</v>
      </c>
      <c r="W82" s="478">
        <f>FT!AA201</f>
        <v>-403344.03543725342</v>
      </c>
      <c r="X82" s="478">
        <f>FT!AB201</f>
        <v>-444699.17907187849</v>
      </c>
      <c r="Y82" s="478">
        <f>FT!AC201</f>
        <v>-491670.32184214029</v>
      </c>
    </row>
    <row r="83" spans="1:25" ht="15" customHeight="1">
      <c r="A83" s="520"/>
      <c r="B83" s="478">
        <f>FT!F210</f>
        <v>0</v>
      </c>
      <c r="C83" s="478">
        <f>FT!G210</f>
        <v>437457.15910137491</v>
      </c>
      <c r="D83" s="478">
        <f>FT!H210</f>
        <v>921387.57693506777</v>
      </c>
      <c r="E83" s="478">
        <f>FT!I210</f>
        <v>929431.36468190653</v>
      </c>
      <c r="F83" s="478">
        <f>FT!J210</f>
        <v>937740.33769737766</v>
      </c>
      <c r="G83" s="478">
        <f>FT!K210</f>
        <v>946126.0917625369</v>
      </c>
      <c r="H83" s="478">
        <f>FT!L210</f>
        <v>954652.50240178453</v>
      </c>
      <c r="I83" s="478">
        <f>FT!M210</f>
        <v>963384.73306624033</v>
      </c>
      <c r="J83" s="478">
        <f>FT!N210</f>
        <v>972349.67829053465</v>
      </c>
      <c r="K83" s="478">
        <f>FT!O210</f>
        <v>976051.44390792074</v>
      </c>
      <c r="L83" s="478">
        <f>FT!P210</f>
        <v>982045.41950793262</v>
      </c>
      <c r="M83" s="478">
        <f>FT!Q210</f>
        <v>988403.67697598459</v>
      </c>
      <c r="N83" s="478">
        <f>FT!R210</f>
        <v>995174.98815238534</v>
      </c>
      <c r="O83" s="478">
        <f>FT!S210</f>
        <v>1002414.8094405308</v>
      </c>
      <c r="P83" s="478">
        <f>FT!T210</f>
        <v>1010186.2005329269</v>
      </c>
      <c r="Q83" s="478">
        <f>FT!U210</f>
        <v>1018560.8694975663</v>
      </c>
      <c r="R83" s="478">
        <f>FT!V210</f>
        <v>1027620.3616138304</v>
      </c>
      <c r="S83" s="478">
        <f>FT!W210</f>
        <v>1037457.4117415028</v>
      </c>
      <c r="T83" s="478">
        <f>FT!X210</f>
        <v>1048177.4827308091</v>
      </c>
      <c r="U83" s="478">
        <f>FT!Y210</f>
        <v>1059900.5154811305</v>
      </c>
      <c r="V83" s="478">
        <f>FT!Z210</f>
        <v>1073272.1205987451</v>
      </c>
      <c r="W83" s="478">
        <f>FT!AA210</f>
        <v>1087948.1385976989</v>
      </c>
      <c r="X83" s="478">
        <f>FT!AB210</f>
        <v>1104106.468614256</v>
      </c>
      <c r="Y83" s="478">
        <f>FT!AC210</f>
        <v>1121949.5144569012</v>
      </c>
    </row>
    <row r="84" spans="1:25">
      <c r="A84" s="519" t="s">
        <v>595</v>
      </c>
      <c r="B84" s="478">
        <f>'Forest Glen'!F314</f>
        <v>-1110000</v>
      </c>
      <c r="C84" s="478">
        <f>'Forest Glen'!G314</f>
        <v>-3630000</v>
      </c>
      <c r="D84" s="478">
        <f>'Forest Glen'!H314</f>
        <v>-4783093.0520833302</v>
      </c>
      <c r="E84" s="478">
        <f>'Forest Glen'!I314</f>
        <v>-6980264.578125</v>
      </c>
      <c r="F84" s="478">
        <f>'Forest Glen'!J314</f>
        <v>-2040653.8011123505</v>
      </c>
      <c r="G84" s="478">
        <f>'Forest Glen'!K314</f>
        <v>-437239.89232170826</v>
      </c>
      <c r="H84" s="478">
        <f>'Forest Glen'!L314</f>
        <v>-441708.95750533475</v>
      </c>
      <c r="I84" s="478">
        <f>'Forest Glen'!M314</f>
        <v>-446260.70253900997</v>
      </c>
      <c r="J84" s="478">
        <f>'Forest Glen'!N314</f>
        <v>-450897.36817919178</v>
      </c>
      <c r="K84" s="478">
        <f>'Forest Glen'!O314</f>
        <v>-454094.88864347513</v>
      </c>
      <c r="L84" s="478">
        <f>'Forest Glen'!P314</f>
        <v>-457324.0975970205</v>
      </c>
      <c r="M84" s="478">
        <f>'Forest Glen'!Q314</f>
        <v>-460585.31171255093</v>
      </c>
      <c r="N84" s="478">
        <f>'Forest Glen'!R314</f>
        <v>-463878.8508293599</v>
      </c>
      <c r="O84" s="478">
        <f>'Forest Glen'!S314</f>
        <v>-467205.03798497672</v>
      </c>
      <c r="P84" s="478">
        <f>'Forest Glen'!T314</f>
        <v>-470564.19944714871</v>
      </c>
      <c r="Q84" s="478">
        <f>'Forest Glen'!U314</f>
        <v>-473956.66474614339</v>
      </c>
      <c r="R84" s="478">
        <f>'Forest Glen'!V314</f>
        <v>-477382.76670737338</v>
      </c>
      <c r="S84" s="478">
        <f>'Forest Glen'!W314</f>
        <v>-480842.84148434771</v>
      </c>
      <c r="T84" s="478">
        <f>'Forest Glen'!X314</f>
        <v>-484337.22859195329</v>
      </c>
      <c r="U84" s="478">
        <f>'Forest Glen'!Y314</f>
        <v>-487866.27094006754</v>
      </c>
      <c r="V84" s="478">
        <f>'Forest Glen'!Z314</f>
        <v>-491430.31486750895</v>
      </c>
      <c r="W84" s="478">
        <f>'Forest Glen'!AA314</f>
        <v>-495029.7101763261</v>
      </c>
      <c r="X84" s="478">
        <f>'Forest Glen'!AB314</f>
        <v>-498664.8101664299</v>
      </c>
      <c r="Y84" s="478">
        <f>'Forest Glen'!AC314</f>
        <v>-19771713.62041834</v>
      </c>
    </row>
    <row r="85" spans="1:25">
      <c r="A85" s="520"/>
      <c r="B85" s="478">
        <f>'Forest Glen'!F323</f>
        <v>0</v>
      </c>
      <c r="C85" s="478">
        <f>'Forest Glen'!G323</f>
        <v>0</v>
      </c>
      <c r="D85" s="478">
        <f>'Forest Glen'!H323</f>
        <v>0</v>
      </c>
      <c r="E85" s="478">
        <f>'Forest Glen'!I323</f>
        <v>0</v>
      </c>
      <c r="F85" s="478">
        <f>'Forest Glen'!J323</f>
        <v>1276359.9288795232</v>
      </c>
      <c r="G85" s="478">
        <f>'Forest Glen'!K323</f>
        <v>1646266.3481082304</v>
      </c>
      <c r="H85" s="478">
        <f>'Forest Glen'!L323</f>
        <v>1680216.2050113115</v>
      </c>
      <c r="I85" s="478">
        <f>'Forest Glen'!M323</f>
        <v>1715326.0468199782</v>
      </c>
      <c r="J85" s="478">
        <f>'Forest Glen'!N323</f>
        <v>1752433.8997470257</v>
      </c>
      <c r="K85" s="478">
        <f>'Forest Glen'!O323</f>
        <v>1756901.5404323121</v>
      </c>
      <c r="L85" s="478">
        <f>'Forest Glen'!P323</f>
        <v>1763193.2375613772</v>
      </c>
      <c r="M85" s="478">
        <f>'Forest Glen'!Q323</f>
        <v>1769544.0982292215</v>
      </c>
      <c r="N85" s="478">
        <f>'Forest Glen'!R323</f>
        <v>1775954.7706618919</v>
      </c>
      <c r="O85" s="478">
        <f>'Forest Glen'!S323</f>
        <v>1782425.9111697157</v>
      </c>
      <c r="P85" s="478">
        <f>'Forest Glen'!T323</f>
        <v>1788958.1842687118</v>
      </c>
      <c r="Q85" s="478">
        <f>'Forest Glen'!U323</f>
        <v>1795552.2628043008</v>
      </c>
      <c r="R85" s="478">
        <f>'Forest Glen'!V323</f>
        <v>1802208.828077347</v>
      </c>
      <c r="S85" s="478">
        <f>'Forest Glen'!W323</f>
        <v>1808928.5699726054</v>
      </c>
      <c r="T85" s="478">
        <f>'Forest Glen'!X323</f>
        <v>1815712.1870896192</v>
      </c>
      <c r="U85" s="478">
        <f>'Forest Glen'!Y323</f>
        <v>1822560.3868761295</v>
      </c>
      <c r="V85" s="478">
        <f>'Forest Glen'!Z323</f>
        <v>1829928.0615907451</v>
      </c>
      <c r="W85" s="478">
        <f>'Forest Glen'!AA323</f>
        <v>1837367.867183272</v>
      </c>
      <c r="X85" s="478">
        <f>'Forest Glen'!AB323</f>
        <v>1844880.626761076</v>
      </c>
      <c r="Y85" s="478">
        <f>'Forest Glen'!AC323</f>
        <v>60125461.319270186</v>
      </c>
    </row>
    <row r="86" spans="1:25">
      <c r="A86" s="519" t="s">
        <v>596</v>
      </c>
      <c r="B86" s="478">
        <f>NC!F205</f>
        <v>0</v>
      </c>
      <c r="C86" s="478">
        <f>NC!G205</f>
        <v>-251580.98466782394</v>
      </c>
      <c r="D86" s="478">
        <f>NC!H205</f>
        <v>-757059.61438508029</v>
      </c>
      <c r="E86" s="478">
        <f>NC!I205</f>
        <v>-66853.181961028953</v>
      </c>
      <c r="F86" s="478">
        <f>NC!J205</f>
        <v>-15241.749536977642</v>
      </c>
      <c r="G86" s="478">
        <f>NC!K205</f>
        <v>-15380.317112926343</v>
      </c>
      <c r="H86" s="478">
        <f>NC!L205</f>
        <v>-15518.884688875047</v>
      </c>
      <c r="I86" s="478">
        <f>NC!M205</f>
        <v>-15657.452264823745</v>
      </c>
      <c r="J86" s="478">
        <f>NC!N205</f>
        <v>-15796.01984077244</v>
      </c>
      <c r="K86" s="478">
        <f>NC!O205</f>
        <v>-15755.265220318966</v>
      </c>
      <c r="L86" s="478">
        <f>NC!P205</f>
        <v>-15714.510599865489</v>
      </c>
      <c r="M86" s="478">
        <f>NC!Q205</f>
        <v>-15673.755979412019</v>
      </c>
      <c r="N86" s="478">
        <f>NC!R205</f>
        <v>-15633.001358958543</v>
      </c>
      <c r="O86" s="478">
        <f>NC!S205</f>
        <v>-15592.246738505062</v>
      </c>
      <c r="P86" s="478">
        <f>NC!T205</f>
        <v>-15551.492118051592</v>
      </c>
      <c r="Q86" s="478">
        <f>NC!U205</f>
        <v>-15510.73749759812</v>
      </c>
      <c r="R86" s="478">
        <f>NC!V205</f>
        <v>-15469.982877144639</v>
      </c>
      <c r="S86" s="478">
        <f>NC!W205</f>
        <v>-15429.228256691167</v>
      </c>
      <c r="T86" s="478">
        <f>NC!X205</f>
        <v>-15388.473636237688</v>
      </c>
      <c r="U86" s="478">
        <f>NC!Y205</f>
        <v>-15347.719015784214</v>
      </c>
      <c r="V86" s="478">
        <f>NC!Z205</f>
        <v>-15306.964395330748</v>
      </c>
      <c r="W86" s="478">
        <f>NC!AA205</f>
        <v>-15266.209774877267</v>
      </c>
      <c r="X86" s="478">
        <f>NC!AB205</f>
        <v>-15225.455154423798</v>
      </c>
      <c r="Y86" s="478">
        <f>NC!AC205</f>
        <v>-15184.700533970317</v>
      </c>
    </row>
    <row r="87" spans="1:25">
      <c r="A87" s="520"/>
      <c r="B87" s="478">
        <f>NC!F214</f>
        <v>0</v>
      </c>
      <c r="C87" s="478">
        <f>NC!G214</f>
        <v>0</v>
      </c>
      <c r="D87" s="478">
        <f>NC!H214</f>
        <v>209572.4660282752</v>
      </c>
      <c r="E87" s="478">
        <f>NC!I214</f>
        <v>211126.37529750465</v>
      </c>
      <c r="F87" s="478">
        <f>NC!J214</f>
        <v>212802.33838899733</v>
      </c>
      <c r="G87" s="478">
        <f>NC!K214</f>
        <v>214394.02294808015</v>
      </c>
      <c r="H87" s="478">
        <f>NC!L214</f>
        <v>215944.67945988616</v>
      </c>
      <c r="I87" s="478">
        <f>NC!M214</f>
        <v>217495.81086621195</v>
      </c>
      <c r="J87" s="478">
        <f>NC!N214</f>
        <v>219047.22833843197</v>
      </c>
      <c r="K87" s="478">
        <f>NC!O214</f>
        <v>218252.82015642288</v>
      </c>
      <c r="L87" s="478">
        <f>NC!P214</f>
        <v>217765.21331249317</v>
      </c>
      <c r="M87" s="478">
        <f>NC!Q214</f>
        <v>217278.27325876453</v>
      </c>
      <c r="N87" s="478">
        <f>NC!R214</f>
        <v>216792.00281083584</v>
      </c>
      <c r="O87" s="478">
        <f>NC!S214</f>
        <v>216306.40482512483</v>
      </c>
      <c r="P87" s="478">
        <f>NC!T214</f>
        <v>215821.48219961405</v>
      </c>
      <c r="Q87" s="478">
        <f>NC!U214</f>
        <v>215337.23787461265</v>
      </c>
      <c r="R87" s="478">
        <f>NC!V214</f>
        <v>214853.67483353568</v>
      </c>
      <c r="S87" s="478">
        <f>NC!W214</f>
        <v>214370.79610370059</v>
      </c>
      <c r="T87" s="478">
        <f>NC!X214</f>
        <v>213888.60475714121</v>
      </c>
      <c r="U87" s="478">
        <f>NC!Y214</f>
        <v>213407.1039114407</v>
      </c>
      <c r="V87" s="478">
        <f>NC!Z214</f>
        <v>212997.01754556855</v>
      </c>
      <c r="W87" s="478">
        <f>NC!AA214</f>
        <v>212587.28294697986</v>
      </c>
      <c r="X87" s="478">
        <f>NC!AB214</f>
        <v>212177.90370746126</v>
      </c>
      <c r="Y87" s="478">
        <f>NC!AC214</f>
        <v>211768.88347229169</v>
      </c>
    </row>
    <row r="88" spans="1:25">
      <c r="A88" s="519" t="s">
        <v>597</v>
      </c>
      <c r="B88" s="478">
        <f>TB!F202</f>
        <v>0</v>
      </c>
      <c r="C88" s="478">
        <f>TB!G202</f>
        <v>-537107.87439426535</v>
      </c>
      <c r="D88" s="478">
        <f>TB!H202</f>
        <v>-40402.668938233503</v>
      </c>
      <c r="E88" s="478">
        <f>TB!I202</f>
        <v>-41407.513799075998</v>
      </c>
      <c r="F88" s="478">
        <f>TB!J202</f>
        <v>-42412.358659918478</v>
      </c>
      <c r="G88" s="478">
        <f>TB!K202</f>
        <v>-43417.203520760973</v>
      </c>
      <c r="H88" s="478">
        <f>TB!L202</f>
        <v>-44422.048381603447</v>
      </c>
      <c r="I88" s="478">
        <f>TB!M202</f>
        <v>-45426.893242445956</v>
      </c>
      <c r="J88" s="478">
        <f>TB!N202</f>
        <v>-46431.738103288437</v>
      </c>
      <c r="K88" s="478">
        <f>TB!O202</f>
        <v>-46781.263730965555</v>
      </c>
      <c r="L88" s="478">
        <f>TB!P202</f>
        <v>-47130.789358642687</v>
      </c>
      <c r="M88" s="478">
        <f>TB!Q202</f>
        <v>-47480.314986319783</v>
      </c>
      <c r="N88" s="478">
        <f>TB!R202</f>
        <v>-47829.840613996923</v>
      </c>
      <c r="O88" s="478">
        <f>TB!S202</f>
        <v>-48179.366241674026</v>
      </c>
      <c r="P88" s="478">
        <f>TB!T202</f>
        <v>-48528.891869351144</v>
      </c>
      <c r="Q88" s="478">
        <f>TB!U202</f>
        <v>-48878.417497028247</v>
      </c>
      <c r="R88" s="478">
        <f>TB!V202</f>
        <v>-49227.943124705365</v>
      </c>
      <c r="S88" s="478">
        <f>TB!W202</f>
        <v>-49577.468752382483</v>
      </c>
      <c r="T88" s="478">
        <f>TB!X202</f>
        <v>-49926.994380059608</v>
      </c>
      <c r="U88" s="478">
        <f>TB!Y202</f>
        <v>-50276.520007736719</v>
      </c>
      <c r="V88" s="478">
        <f>TB!Z202</f>
        <v>-50626.04563541383</v>
      </c>
      <c r="W88" s="478">
        <f>TB!AA202</f>
        <v>-50975.571263090955</v>
      </c>
      <c r="X88" s="478">
        <f>TB!AB202</f>
        <v>-51325.096890768065</v>
      </c>
      <c r="Y88" s="478">
        <f>TB!AC202</f>
        <v>-51674.622518445205</v>
      </c>
    </row>
    <row r="89" spans="1:25">
      <c r="A89" s="520"/>
      <c r="B89" s="478">
        <f>TB!F211</f>
        <v>0</v>
      </c>
      <c r="C89" s="478">
        <f>TB!G211</f>
        <v>0</v>
      </c>
      <c r="D89" s="478">
        <f>TB!H211</f>
        <v>241028.84614008249</v>
      </c>
      <c r="E89" s="478">
        <f>TB!I211</f>
        <v>246031.2376889734</v>
      </c>
      <c r="F89" s="478">
        <f>TB!J211</f>
        <v>251128.28059819533</v>
      </c>
      <c r="G89" s="478">
        <f>TB!K211</f>
        <v>256114.21168973658</v>
      </c>
      <c r="H89" s="478">
        <f>TB!L211</f>
        <v>261032.82001664513</v>
      </c>
      <c r="I89" s="478">
        <f>TB!M211</f>
        <v>265926.11986182397</v>
      </c>
      <c r="J89" s="478">
        <f>TB!N211</f>
        <v>270794.40949586715</v>
      </c>
      <c r="K89" s="478">
        <f>TB!O211</f>
        <v>272210.37915004656</v>
      </c>
      <c r="L89" s="478">
        <f>TB!P211</f>
        <v>274459.56226928014</v>
      </c>
      <c r="M89" s="478">
        <f>TB!Q211</f>
        <v>276715.01369917649</v>
      </c>
      <c r="N89" s="478">
        <f>TB!R211</f>
        <v>278976.83368312952</v>
      </c>
      <c r="O89" s="478">
        <f>TB!S211</f>
        <v>281245.12389367033</v>
      </c>
      <c r="P89" s="478">
        <f>TB!T211</f>
        <v>283519.98745812185</v>
      </c>
      <c r="Q89" s="478">
        <f>TB!U211</f>
        <v>285801.52898480871</v>
      </c>
      <c r="R89" s="478">
        <f>TB!V211</f>
        <v>288089.85458983365</v>
      </c>
      <c r="S89" s="478">
        <f>TB!W211</f>
        <v>290385.07192443905</v>
      </c>
      <c r="T89" s="478">
        <f>TB!X211</f>
        <v>292687.29020296433</v>
      </c>
      <c r="U89" s="478">
        <f>TB!Y211</f>
        <v>294996.62023141771</v>
      </c>
      <c r="V89" s="478">
        <f>TB!Z211</f>
        <v>297528.69877026434</v>
      </c>
      <c r="W89" s="478">
        <f>TB!AA211</f>
        <v>300071.09206988942</v>
      </c>
      <c r="X89" s="478">
        <f>TB!AB211</f>
        <v>302623.91622147447</v>
      </c>
      <c r="Y89" s="478">
        <f>TB!AC211</f>
        <v>305187.28903302812</v>
      </c>
    </row>
    <row r="90" spans="1:25">
      <c r="A90" s="519" t="s">
        <v>620</v>
      </c>
      <c r="B90" s="478">
        <f>WH!F198</f>
        <v>-37500</v>
      </c>
      <c r="C90" s="478">
        <f>WH!G198</f>
        <v>-680190.19049244246</v>
      </c>
      <c r="D90" s="478">
        <f>WH!H198</f>
        <v>-30104.28696875981</v>
      </c>
      <c r="E90" s="478">
        <f>WH!I198</f>
        <v>-30447.811967749934</v>
      </c>
      <c r="F90" s="478">
        <f>WH!J198</f>
        <v>-30791.336966740069</v>
      </c>
      <c r="G90" s="478">
        <f>WH!K198</f>
        <v>-31134.861965730204</v>
      </c>
      <c r="H90" s="478">
        <f>WH!L198</f>
        <v>-31478.386964720343</v>
      </c>
      <c r="I90" s="478">
        <f>WH!M198</f>
        <v>-31821.911963710467</v>
      </c>
      <c r="J90" s="478">
        <f>WH!N198</f>
        <v>-32165.436962700602</v>
      </c>
      <c r="K90" s="478">
        <f>WH!O198</f>
        <v>-32378.938215842689</v>
      </c>
      <c r="L90" s="478">
        <f>WH!P198</f>
        <v>-32592.439468984776</v>
      </c>
      <c r="M90" s="478">
        <f>WH!Q198</f>
        <v>-32805.94072212687</v>
      </c>
      <c r="N90" s="478">
        <f>WH!R198</f>
        <v>-33019.441975268957</v>
      </c>
      <c r="O90" s="478">
        <f>WH!S198</f>
        <v>-33232.943228411037</v>
      </c>
      <c r="P90" s="478">
        <f>WH!T198</f>
        <v>-33446.444481553131</v>
      </c>
      <c r="Q90" s="478">
        <f>WH!U198</f>
        <v>-33659.945734695219</v>
      </c>
      <c r="R90" s="478">
        <f>WH!V198</f>
        <v>-33873.446987837313</v>
      </c>
      <c r="S90" s="478">
        <f>WH!W198</f>
        <v>-34086.9482409794</v>
      </c>
      <c r="T90" s="478">
        <f>WH!X198</f>
        <v>-34300.449494121494</v>
      </c>
      <c r="U90" s="478">
        <f>WH!Y198</f>
        <v>-34513.950747263574</v>
      </c>
      <c r="V90" s="478">
        <f>WH!Z198</f>
        <v>-34727.452000405661</v>
      </c>
      <c r="W90" s="478">
        <f>WH!AA198</f>
        <v>-34940.953253547748</v>
      </c>
      <c r="X90" s="478">
        <f>WH!AB198</f>
        <v>-35154.454506689843</v>
      </c>
      <c r="Y90" s="478">
        <f>WH!AC198</f>
        <v>-35367.95575983193</v>
      </c>
    </row>
    <row r="91" spans="1:25">
      <c r="A91" s="520"/>
      <c r="B91" s="478">
        <f>WH!F207</f>
        <v>0</v>
      </c>
      <c r="C91" s="478">
        <f>WH!G207</f>
        <v>71113.084718135855</v>
      </c>
      <c r="D91" s="478">
        <f>WH!H207</f>
        <v>287112.45639370952</v>
      </c>
      <c r="E91" s="478">
        <f>WH!I207</f>
        <v>289772.2007393447</v>
      </c>
      <c r="F91" s="478">
        <f>WH!J207</f>
        <v>292551.87675543583</v>
      </c>
      <c r="G91" s="478">
        <f>WH!K207</f>
        <v>295245.09408501897</v>
      </c>
      <c r="H91" s="478">
        <f>WH!L207</f>
        <v>297895.05251526285</v>
      </c>
      <c r="I91" s="478">
        <f>WH!M207</f>
        <v>300543.21089757961</v>
      </c>
      <c r="J91" s="478">
        <f>WH!N207</f>
        <v>303189.34230767266</v>
      </c>
      <c r="K91" s="478">
        <f>WH!O207</f>
        <v>304826.35637428355</v>
      </c>
      <c r="L91" s="478">
        <f>WH!P207</f>
        <v>306943.60035184195</v>
      </c>
      <c r="M91" s="478">
        <f>WH!Q207</f>
        <v>309063.89674791216</v>
      </c>
      <c r="N91" s="478">
        <f>WH!R207</f>
        <v>311187.29492083762</v>
      </c>
      <c r="O91" s="478">
        <f>WH!S207</f>
        <v>313313.84493259306</v>
      </c>
      <c r="P91" s="478">
        <f>WH!T207</f>
        <v>315443.59756142512</v>
      </c>
      <c r="Q91" s="478">
        <f>WH!U207</f>
        <v>317576.6043147631</v>
      </c>
      <c r="R91" s="478">
        <f>WH!V207</f>
        <v>319712.91744241217</v>
      </c>
      <c r="S91" s="478">
        <f>WH!W207</f>
        <v>321852.58995003277</v>
      </c>
      <c r="T91" s="478">
        <f>WH!X207</f>
        <v>323995.67561291577</v>
      </c>
      <c r="U91" s="478">
        <f>WH!Y207</f>
        <v>326142.22899005801</v>
      </c>
      <c r="V91" s="478">
        <f>WH!Z207</f>
        <v>328415.19495732442</v>
      </c>
      <c r="W91" s="478">
        <f>WH!AA207</f>
        <v>330693.25415779994</v>
      </c>
      <c r="X91" s="478">
        <f>WH!AB207</f>
        <v>332976.46392157418</v>
      </c>
      <c r="Y91" s="478">
        <f>WH!AC207</f>
        <v>335264.88242635317</v>
      </c>
    </row>
    <row r="92" spans="1:25">
      <c r="A92" s="519" t="s">
        <v>593</v>
      </c>
      <c r="B92" s="478">
        <f>'A-N Drive'!F265</f>
        <v>-1420667.9086588875</v>
      </c>
      <c r="C92" s="478">
        <f>'A-N Drive'!G265</f>
        <v>-6519911.8109841645</v>
      </c>
      <c r="D92" s="478">
        <f>'A-N Drive'!H265</f>
        <v>-658427.89203310013</v>
      </c>
      <c r="E92" s="478">
        <f>'A-N Drive'!I265</f>
        <v>-663306.09484617948</v>
      </c>
      <c r="F92" s="478">
        <f>'A-N Drive'!J265</f>
        <v>-668240.0810369933</v>
      </c>
      <c r="G92" s="478">
        <f>'A-N Drive'!K265</f>
        <v>-673230.40843931888</v>
      </c>
      <c r="H92" s="478">
        <f>'A-N Drive'!L265</f>
        <v>-678277.64046527143</v>
      </c>
      <c r="I92" s="478">
        <f>'A-N Drive'!M265</f>
        <v>-683382.34616108739</v>
      </c>
      <c r="J92" s="478">
        <f>'A-N Drive'!N265</f>
        <v>-688545.1002634652</v>
      </c>
      <c r="K92" s="478">
        <f>'A-N Drive'!O265</f>
        <v>-695888.26601461228</v>
      </c>
      <c r="L92" s="478">
        <f>'A-N Drive'!P265</f>
        <v>-703290.64694529329</v>
      </c>
      <c r="M92" s="478">
        <f>'A-N Drive'!Q265</f>
        <v>-710752.83520730329</v>
      </c>
      <c r="N92" s="478">
        <f>'A-N Drive'!R265</f>
        <v>-718275.42887395574</v>
      </c>
      <c r="O92" s="478">
        <f>'A-N Drive'!S265</f>
        <v>-725859.03199929721</v>
      </c>
      <c r="P92" s="478">
        <f>'A-N Drive'!T265</f>
        <v>-733504.25467791397</v>
      </c>
      <c r="Q92" s="478">
        <f>'A-N Drive'!U265</f>
        <v>-741211.71310533932</v>
      </c>
      <c r="R92" s="478">
        <f>'A-N Drive'!V265</f>
        <v>-748982.02963906131</v>
      </c>
      <c r="S92" s="478">
        <f>'A-N Drive'!W265</f>
        <v>-756815.83286014281</v>
      </c>
      <c r="T92" s="478">
        <f>'A-N Drive'!X265</f>
        <v>-764713.75763545744</v>
      </c>
      <c r="U92" s="478">
        <f>'A-N Drive'!Y265</f>
        <v>-772676.44518054742</v>
      </c>
      <c r="V92" s="478">
        <f>'A-N Drive'!Z265</f>
        <v>-780704.54312311066</v>
      </c>
      <c r="W92" s="478">
        <f>'A-N Drive'!AA265</f>
        <v>-788798.70556712174</v>
      </c>
      <c r="X92" s="478">
        <f>'A-N Drive'!AB265</f>
        <v>-796959.59315759537</v>
      </c>
      <c r="Y92" s="478">
        <f>'A-N Drive'!AC265</f>
        <v>-805187.87314599589</v>
      </c>
    </row>
    <row r="93" spans="1:25">
      <c r="A93" s="520"/>
      <c r="B93" s="478">
        <f>'A-N Drive'!F274</f>
        <v>0</v>
      </c>
      <c r="C93" s="478">
        <f>'A-N Drive'!G274</f>
        <v>1160569.4821194597</v>
      </c>
      <c r="D93" s="478">
        <f>'A-N Drive'!H274</f>
        <v>2480592.7682689135</v>
      </c>
      <c r="E93" s="478">
        <f>'A-N Drive'!I274</f>
        <v>2479552.7741272645</v>
      </c>
      <c r="F93" s="478">
        <f>'A-N Drive'!J274</f>
        <v>2478814.9968538708</v>
      </c>
      <c r="G93" s="478">
        <f>'A-N Drive'!K274</f>
        <v>2478168.822148981</v>
      </c>
      <c r="H93" s="478">
        <f>'A-N Drive'!L274</f>
        <v>2477653.6281378521</v>
      </c>
      <c r="I93" s="478">
        <f>'A-N Drive'!M274</f>
        <v>2477307.4141866285</v>
      </c>
      <c r="J93" s="478">
        <f>'A-N Drive'!N274</f>
        <v>2477126.820745796</v>
      </c>
      <c r="K93" s="478">
        <f>'A-N Drive'!O274</f>
        <v>2503431.1361899553</v>
      </c>
      <c r="L93" s="478">
        <f>'A-N Drive'!P274</f>
        <v>2533217.3108836766</v>
      </c>
      <c r="M93" s="478">
        <f>'A-N Drive'!Q274</f>
        <v>2563149.8471400486</v>
      </c>
      <c r="N93" s="478">
        <f>'A-N Drive'!R274</f>
        <v>2593230.4345611562</v>
      </c>
      <c r="O93" s="478">
        <f>'A-N Drive'!S274</f>
        <v>2623460.783507986</v>
      </c>
      <c r="P93" s="478">
        <f>'A-N Drive'!T274</f>
        <v>2653842.6254074201</v>
      </c>
      <c r="Q93" s="478">
        <f>'A-N Drive'!U274</f>
        <v>2684377.7130649271</v>
      </c>
      <c r="R93" s="478">
        <f>'A-N Drive'!V274</f>
        <v>2715067.8209830737</v>
      </c>
      <c r="S93" s="478">
        <f>'A-N Drive'!W274</f>
        <v>2745914.7456860044</v>
      </c>
      <c r="T93" s="478">
        <f>'A-N Drive'!X274</f>
        <v>2776920.3060500189</v>
      </c>
      <c r="U93" s="478">
        <f>'A-N Drive'!Y274</f>
        <v>2802720.6868707165</v>
      </c>
      <c r="V93" s="478">
        <f>'A-N Drive'!Z274</f>
        <v>2829305.9365580808</v>
      </c>
      <c r="W93" s="478">
        <f>'A-N Drive'!AA274</f>
        <v>2856075.7383180493</v>
      </c>
      <c r="X93" s="478">
        <f>'A-N Drive'!AB274</f>
        <v>2883032.1527788662</v>
      </c>
      <c r="Y93" s="478">
        <f>'A-N Drive'!AC274</f>
        <v>2809457.5226026969</v>
      </c>
    </row>
    <row r="94" spans="1:25">
      <c r="A94" s="519" t="s">
        <v>594</v>
      </c>
      <c r="B94" s="478">
        <f>VRE!F143</f>
        <v>0</v>
      </c>
      <c r="C94" s="478">
        <f>VRE!G143</f>
        <v>-275620</v>
      </c>
      <c r="D94" s="478">
        <f>VRE!H143</f>
        <v>-25454.183142463735</v>
      </c>
      <c r="E94" s="478">
        <f>VRE!I143</f>
        <v>-18771.601456710108</v>
      </c>
      <c r="F94" s="478">
        <f>VRE!J143</f>
        <v>-20094.968137241409</v>
      </c>
      <c r="G94" s="478">
        <f>VRE!K143</f>
        <v>-21444.802151383334</v>
      </c>
      <c r="H94" s="478">
        <f>VRE!L143</f>
        <v>-22821.632845808097</v>
      </c>
      <c r="I94" s="478">
        <f>VRE!M143</f>
        <v>-24226.000154121364</v>
      </c>
      <c r="J94" s="478">
        <f>VRE!N143</f>
        <v>-25658.454808600905</v>
      </c>
      <c r="K94" s="478">
        <f>VRE!O143</f>
        <v>-27119.558556170006</v>
      </c>
      <c r="L94" s="478">
        <f>VRE!P143</f>
        <v>-28609.88437869052</v>
      </c>
      <c r="M94" s="478">
        <f>VRE!Q143</f>
        <v>-30130.01671766143</v>
      </c>
      <c r="N94" s="478">
        <f>VRE!R143</f>
        <v>-31680.551703411755</v>
      </c>
      <c r="O94" s="478">
        <f>VRE!S143</f>
        <v>-33262.097388877075</v>
      </c>
      <c r="P94" s="478">
        <f>VRE!T143</f>
        <v>-34875.273988051733</v>
      </c>
      <c r="Q94" s="478">
        <f>VRE!U143</f>
        <v>-36520.714119209864</v>
      </c>
      <c r="R94" s="478">
        <f>VRE!V143</f>
        <v>-38199.06305299115</v>
      </c>
      <c r="S94" s="478">
        <f>VRE!W143</f>
        <v>-39910.978965448085</v>
      </c>
      <c r="T94" s="478">
        <f>VRE!X143</f>
        <v>-41657.133196154144</v>
      </c>
      <c r="U94" s="478">
        <f>VRE!Y143</f>
        <v>-43438.210511474332</v>
      </c>
      <c r="V94" s="478">
        <f>VRE!Z143</f>
        <v>-45254.909373100912</v>
      </c>
      <c r="W94" s="478">
        <f>VRE!AA143</f>
        <v>-47107.94221196002</v>
      </c>
      <c r="X94" s="478">
        <f>VRE!AB143</f>
        <v>-48998.035707596333</v>
      </c>
      <c r="Y94" s="478">
        <f>VRE!AC143</f>
        <v>-50925.931073145366</v>
      </c>
    </row>
    <row r="95" spans="1:25">
      <c r="A95" s="520"/>
      <c r="B95" s="478">
        <f>VRE!F152</f>
        <v>0</v>
      </c>
      <c r="C95" s="478">
        <f>VRE!G152</f>
        <v>0</v>
      </c>
      <c r="D95" s="478">
        <f>VRE!H152</f>
        <v>76899.784607708862</v>
      </c>
      <c r="E95" s="478">
        <f>VRE!I152</f>
        <v>83654.372503075327</v>
      </c>
      <c r="F95" s="478">
        <f>VRE!J152</f>
        <v>90404.849051587327</v>
      </c>
      <c r="G95" s="478">
        <f>VRE!K152</f>
        <v>97152.095614188787</v>
      </c>
      <c r="H95" s="478">
        <f>VRE!L152</f>
        <v>103896.83322238688</v>
      </c>
      <c r="I95" s="478">
        <f>VRE!M152</f>
        <v>110639.63397520568</v>
      </c>
      <c r="J95" s="478">
        <f>VRE!N152</f>
        <v>117770.44007375895</v>
      </c>
      <c r="K95" s="478">
        <f>VRE!O152</f>
        <v>124937.50598782797</v>
      </c>
      <c r="L95" s="478">
        <f>VRE!P152</f>
        <v>133037.79725594775</v>
      </c>
      <c r="M95" s="478">
        <f>VRE!Q152</f>
        <v>141286.5699590923</v>
      </c>
      <c r="N95" s="478">
        <f>VRE!R152</f>
        <v>149686.69801842852</v>
      </c>
      <c r="O95" s="478">
        <f>VRE!S152</f>
        <v>158241.11155988401</v>
      </c>
      <c r="P95" s="478">
        <f>VRE!T152</f>
        <v>166952.79803401142</v>
      </c>
      <c r="Q95" s="478">
        <f>VRE!U152</f>
        <v>175824.80335875275</v>
      </c>
      <c r="R95" s="478">
        <f>VRE!V152</f>
        <v>184860.23308559126</v>
      </c>
      <c r="S95" s="478">
        <f>VRE!W152</f>
        <v>194062.25358958269</v>
      </c>
      <c r="T95" s="478">
        <f>VRE!X152</f>
        <v>203434.09328377352</v>
      </c>
      <c r="U95" s="478">
        <f>VRE!Y152</f>
        <v>212979.04385852383</v>
      </c>
      <c r="V95" s="478">
        <f>VRE!Z152</f>
        <v>223076.32023057353</v>
      </c>
      <c r="W95" s="478">
        <f>VRE!AA152</f>
        <v>233387.66465624043</v>
      </c>
      <c r="X95" s="478">
        <f>VRE!AB152</f>
        <v>243917.59171706124</v>
      </c>
      <c r="Y95" s="478">
        <f>VRE!AC152</f>
        <v>249634.5380086801</v>
      </c>
    </row>
    <row r="97" spans="1:26">
      <c r="A97" s="3" t="s">
        <v>615</v>
      </c>
      <c r="B97" s="478">
        <f t="shared" ref="B97:Y97" si="4">B92+B94+B82+B84+B86+B88+B90</f>
        <v>-2568167.9086588873</v>
      </c>
      <c r="C97" s="478">
        <f t="shared" si="4"/>
        <v>-13773194.280265518</v>
      </c>
      <c r="D97" s="478">
        <f t="shared" si="4"/>
        <v>-8851495.2647212688</v>
      </c>
      <c r="E97" s="478">
        <f t="shared" si="4"/>
        <v>-7925355.6803493761</v>
      </c>
      <c r="F97" s="478">
        <f t="shared" si="4"/>
        <v>-2946795.433609975</v>
      </c>
      <c r="G97" s="478">
        <f t="shared" si="4"/>
        <v>-1356823.4802718693</v>
      </c>
      <c r="H97" s="478">
        <f t="shared" si="4"/>
        <v>-1375453.4376016615</v>
      </c>
      <c r="I97" s="478">
        <f t="shared" si="4"/>
        <v>-1394972.9932962884</v>
      </c>
      <c r="J97" s="478">
        <f t="shared" si="4"/>
        <v>-1415484.2706271885</v>
      </c>
      <c r="K97" s="478">
        <f t="shared" si="4"/>
        <v>-1436063.4639716868</v>
      </c>
      <c r="L97" s="478">
        <f t="shared" si="4"/>
        <v>-1457823.3404837234</v>
      </c>
      <c r="M97" s="478">
        <f t="shared" si="4"/>
        <v>-1480910.4776848899</v>
      </c>
      <c r="N97" s="478">
        <f t="shared" si="4"/>
        <v>-1505491.3213998594</v>
      </c>
      <c r="O97" s="478">
        <f t="shared" si="4"/>
        <v>-1531754.9012226225</v>
      </c>
      <c r="P97" s="478">
        <f t="shared" si="4"/>
        <v>-1559915.9174196739</v>
      </c>
      <c r="Q97" s="478">
        <f t="shared" si="4"/>
        <v>-1590218.2500820726</v>
      </c>
      <c r="R97" s="478">
        <f t="shared" si="4"/>
        <v>-1622938.9482893269</v>
      </c>
      <c r="S97" s="478">
        <f t="shared" si="4"/>
        <v>-1658392.7649500645</v>
      </c>
      <c r="T97" s="478">
        <f t="shared" si="4"/>
        <v>-1696937.311967348</v>
      </c>
      <c r="U97" s="478">
        <f t="shared" si="4"/>
        <v>-1738978.9205883513</v>
      </c>
      <c r="V97" s="478">
        <f t="shared" si="4"/>
        <v>-1784979.3034068909</v>
      </c>
      <c r="W97" s="478">
        <f t="shared" si="4"/>
        <v>-1835463.1276841771</v>
      </c>
      <c r="X97" s="478">
        <f t="shared" si="4"/>
        <v>-1891026.624655382</v>
      </c>
      <c r="Y97" s="478">
        <f t="shared" si="4"/>
        <v>-21221725.025291871</v>
      </c>
      <c r="Z97" s="492">
        <f>SUM(B97:Y97)</f>
        <v>-85620362.448499992</v>
      </c>
    </row>
    <row r="98" spans="1:26">
      <c r="A98" s="3" t="s">
        <v>616</v>
      </c>
      <c r="B98" s="478">
        <f t="shared" ref="B98:Y98" si="5">B93+B95+B83+B85+B87+B89+B91</f>
        <v>0</v>
      </c>
      <c r="C98" s="478">
        <f t="shared" si="5"/>
        <v>1669139.7259389705</v>
      </c>
      <c r="D98" s="478">
        <f t="shared" si="5"/>
        <v>4216593.8983737575</v>
      </c>
      <c r="E98" s="478">
        <f t="shared" si="5"/>
        <v>4239568.3250380689</v>
      </c>
      <c r="F98" s="478">
        <f t="shared" si="5"/>
        <v>5539802.608224988</v>
      </c>
      <c r="G98" s="478">
        <f t="shared" si="5"/>
        <v>5933466.6863567727</v>
      </c>
      <c r="H98" s="478">
        <f t="shared" si="5"/>
        <v>5991291.7207651287</v>
      </c>
      <c r="I98" s="478">
        <f t="shared" si="5"/>
        <v>6050622.9696736671</v>
      </c>
      <c r="J98" s="478">
        <f t="shared" si="5"/>
        <v>6112711.8189990865</v>
      </c>
      <c r="K98" s="478">
        <f t="shared" si="5"/>
        <v>6156611.1821987694</v>
      </c>
      <c r="L98" s="478">
        <f t="shared" si="5"/>
        <v>6210662.141142549</v>
      </c>
      <c r="M98" s="478">
        <f t="shared" si="5"/>
        <v>6265441.3760102</v>
      </c>
      <c r="N98" s="478">
        <f t="shared" si="5"/>
        <v>6321003.0228086645</v>
      </c>
      <c r="O98" s="478">
        <f t="shared" si="5"/>
        <v>6377407.9893295057</v>
      </c>
      <c r="P98" s="478">
        <f t="shared" si="5"/>
        <v>6434724.8754622322</v>
      </c>
      <c r="Q98" s="478">
        <f t="shared" si="5"/>
        <v>6493031.0198997306</v>
      </c>
      <c r="R98" s="478">
        <f t="shared" si="5"/>
        <v>6552413.6906256247</v>
      </c>
      <c r="S98" s="478">
        <f t="shared" si="5"/>
        <v>6612971.4389678678</v>
      </c>
      <c r="T98" s="478">
        <f t="shared" si="5"/>
        <v>6674815.6397272423</v>
      </c>
      <c r="U98" s="478">
        <f t="shared" si="5"/>
        <v>6732706.5862194179</v>
      </c>
      <c r="V98" s="478">
        <f t="shared" si="5"/>
        <v>6794523.3502513021</v>
      </c>
      <c r="W98" s="478">
        <f t="shared" si="5"/>
        <v>6858131.0379299298</v>
      </c>
      <c r="X98" s="478">
        <f t="shared" si="5"/>
        <v>6923715.1237217691</v>
      </c>
      <c r="Y98" s="478">
        <f t="shared" si="5"/>
        <v>65158723.949270137</v>
      </c>
      <c r="Z98" s="492">
        <f>SUM(B98:Y98)</f>
        <v>196320080.17693537</v>
      </c>
    </row>
    <row r="99" spans="1:26">
      <c r="A99" s="488" t="s">
        <v>617</v>
      </c>
      <c r="B99" s="478">
        <f>B97+B98</f>
        <v>-2568167.9086588873</v>
      </c>
      <c r="C99" s="478">
        <f t="shared" ref="C99:Y99" si="6">C97+C98</f>
        <v>-12104054.554326547</v>
      </c>
      <c r="D99" s="478">
        <f>D97+D98</f>
        <v>-4634901.3663475113</v>
      </c>
      <c r="E99" s="478">
        <f t="shared" si="6"/>
        <v>-3685787.3553113071</v>
      </c>
      <c r="F99" s="478">
        <f t="shared" si="6"/>
        <v>2593007.1746150129</v>
      </c>
      <c r="G99" s="478">
        <f t="shared" si="6"/>
        <v>4576643.2060849033</v>
      </c>
      <c r="H99" s="478">
        <f t="shared" si="6"/>
        <v>4615838.2831634674</v>
      </c>
      <c r="I99" s="478">
        <f t="shared" si="6"/>
        <v>4655649.9763773791</v>
      </c>
      <c r="J99" s="478">
        <f t="shared" si="6"/>
        <v>4697227.548371898</v>
      </c>
      <c r="K99" s="478">
        <f t="shared" si="6"/>
        <v>4720547.7182270829</v>
      </c>
      <c r="L99" s="478">
        <f t="shared" si="6"/>
        <v>4752838.8006588258</v>
      </c>
      <c r="M99" s="478">
        <f t="shared" si="6"/>
        <v>4784530.8983253101</v>
      </c>
      <c r="N99" s="478">
        <f t="shared" si="6"/>
        <v>4815511.7014088053</v>
      </c>
      <c r="O99" s="478">
        <f t="shared" si="6"/>
        <v>4845653.0881068837</v>
      </c>
      <c r="P99" s="478">
        <f t="shared" si="6"/>
        <v>4874808.9580425583</v>
      </c>
      <c r="Q99" s="478">
        <f t="shared" si="6"/>
        <v>4902812.7698176578</v>
      </c>
      <c r="R99" s="478">
        <f t="shared" si="6"/>
        <v>4929474.7423362974</v>
      </c>
      <c r="S99" s="478">
        <f t="shared" si="6"/>
        <v>4954578.6740178037</v>
      </c>
      <c r="T99" s="478">
        <f t="shared" si="6"/>
        <v>4977878.3277598945</v>
      </c>
      <c r="U99" s="478">
        <f t="shared" si="6"/>
        <v>4993727.665631067</v>
      </c>
      <c r="V99" s="478">
        <f t="shared" si="6"/>
        <v>5009544.0468444116</v>
      </c>
      <c r="W99" s="478">
        <f t="shared" si="6"/>
        <v>5022667.9102457529</v>
      </c>
      <c r="X99" s="478">
        <f t="shared" si="6"/>
        <v>5032688.4990663873</v>
      </c>
      <c r="Y99" s="478">
        <f t="shared" si="6"/>
        <v>43936998.923978269</v>
      </c>
      <c r="Z99" s="492">
        <f>Z97+Z98</f>
        <v>110699717.72843538</v>
      </c>
    </row>
    <row r="100" spans="1:26">
      <c r="A100" s="488"/>
      <c r="B100" s="478"/>
      <c r="C100" s="478"/>
      <c r="D100" s="478"/>
      <c r="E100" s="478"/>
      <c r="F100" s="478"/>
      <c r="G100" s="478"/>
      <c r="H100" s="478"/>
      <c r="I100" s="478"/>
      <c r="J100" s="478"/>
      <c r="K100" s="478"/>
      <c r="L100" s="478"/>
      <c r="M100" s="478"/>
      <c r="N100" s="478"/>
      <c r="O100" s="478"/>
      <c r="P100" s="478"/>
      <c r="Q100" s="478"/>
      <c r="R100" s="478"/>
      <c r="S100" s="478"/>
      <c r="T100" s="478"/>
      <c r="U100" s="478"/>
      <c r="V100" s="478"/>
      <c r="W100" s="478"/>
      <c r="X100" s="478"/>
      <c r="Y100" s="478"/>
      <c r="Z100" s="492"/>
    </row>
    <row r="101" spans="1:26">
      <c r="A101" s="3" t="s">
        <v>602</v>
      </c>
      <c r="B101" s="491">
        <f>1/1.03</f>
        <v>0.970873786407767</v>
      </c>
      <c r="C101" s="491">
        <f>B101/1.03</f>
        <v>0.94259590913375435</v>
      </c>
      <c r="D101" s="491">
        <f t="shared" ref="D101:Y101" si="7">C101/1.03</f>
        <v>0.9151416593531595</v>
      </c>
      <c r="E101" s="491">
        <f t="shared" si="7"/>
        <v>0.88848704791568878</v>
      </c>
      <c r="F101" s="491">
        <f t="shared" si="7"/>
        <v>0.86260878438416388</v>
      </c>
      <c r="G101" s="491">
        <f t="shared" si="7"/>
        <v>0.83748425668365423</v>
      </c>
      <c r="H101" s="491">
        <f t="shared" si="7"/>
        <v>0.81309151134335356</v>
      </c>
      <c r="I101" s="491">
        <f t="shared" si="7"/>
        <v>0.7894092343139355</v>
      </c>
      <c r="J101" s="491">
        <f t="shared" si="7"/>
        <v>0.76641673234362673</v>
      </c>
      <c r="K101" s="491">
        <f t="shared" si="7"/>
        <v>0.74409391489672494</v>
      </c>
      <c r="L101" s="491">
        <f t="shared" si="7"/>
        <v>0.7224212765987621</v>
      </c>
      <c r="M101" s="491">
        <f t="shared" si="7"/>
        <v>0.70137988019297293</v>
      </c>
      <c r="N101" s="491">
        <f t="shared" si="7"/>
        <v>0.68095133999317758</v>
      </c>
      <c r="O101" s="491">
        <f t="shared" si="7"/>
        <v>0.66111780581861901</v>
      </c>
      <c r="P101" s="491">
        <f t="shared" si="7"/>
        <v>0.64186194739671742</v>
      </c>
      <c r="Q101" s="491">
        <f t="shared" si="7"/>
        <v>0.62316693922011401</v>
      </c>
      <c r="R101" s="491">
        <f t="shared" si="7"/>
        <v>0.60501644584477088</v>
      </c>
      <c r="S101" s="491">
        <f t="shared" si="7"/>
        <v>0.58739460761628237</v>
      </c>
      <c r="T101" s="491">
        <f t="shared" si="7"/>
        <v>0.57028602681192464</v>
      </c>
      <c r="U101" s="491">
        <f t="shared" si="7"/>
        <v>0.55367575418633463</v>
      </c>
      <c r="V101" s="491">
        <f t="shared" si="7"/>
        <v>0.53754927590906276</v>
      </c>
      <c r="W101" s="491">
        <f t="shared" si="7"/>
        <v>0.52189250088258521</v>
      </c>
      <c r="X101" s="491">
        <f t="shared" si="7"/>
        <v>0.50669174842969433</v>
      </c>
      <c r="Y101" s="491">
        <f t="shared" si="7"/>
        <v>0.49193373633950904</v>
      </c>
    </row>
    <row r="102" spans="1:26">
      <c r="A102" s="3"/>
      <c r="B102" s="478">
        <f t="shared" ref="B102:Y102" si="8">B99*B101</f>
        <v>-2493366.90161057</v>
      </c>
      <c r="C102" s="478">
        <f t="shared" si="8"/>
        <v>-11409232.306839991</v>
      </c>
      <c r="D102" s="478">
        <f t="shared" si="8"/>
        <v>-4241591.3273374876</v>
      </c>
      <c r="E102" s="478">
        <f t="shared" si="8"/>
        <v>-3274774.3265655171</v>
      </c>
      <c r="F102" s="478">
        <f t="shared" si="8"/>
        <v>2236750.7667940715</v>
      </c>
      <c r="G102" s="478">
        <f t="shared" si="8"/>
        <v>3832866.6335543115</v>
      </c>
      <c r="H102" s="478">
        <f t="shared" si="8"/>
        <v>3753098.9257738939</v>
      </c>
      <c r="I102" s="478">
        <f t="shared" si="8"/>
        <v>3675213.0830857586</v>
      </c>
      <c r="J102" s="478">
        <f t="shared" si="8"/>
        <v>3600033.7886976548</v>
      </c>
      <c r="K102" s="478">
        <f t="shared" si="8"/>
        <v>3512530.8321123919</v>
      </c>
      <c r="L102" s="478">
        <f t="shared" si="8"/>
        <v>3433551.8738400782</v>
      </c>
      <c r="M102" s="478">
        <f t="shared" si="8"/>
        <v>3355773.7082469831</v>
      </c>
      <c r="N102" s="478">
        <f t="shared" si="8"/>
        <v>3279129.1458271523</v>
      </c>
      <c r="O102" s="478">
        <f t="shared" si="8"/>
        <v>3203547.5373674384</v>
      </c>
      <c r="P102" s="478">
        <f t="shared" si="8"/>
        <v>3128954.3709961595</v>
      </c>
      <c r="Q102" s="478">
        <f t="shared" si="8"/>
        <v>3055270.8273365591</v>
      </c>
      <c r="R102" s="478">
        <f t="shared" si="8"/>
        <v>2982413.2884898745</v>
      </c>
      <c r="S102" s="478">
        <f t="shared" si="8"/>
        <v>2910292.7961286884</v>
      </c>
      <c r="T102" s="478">
        <f t="shared" si="8"/>
        <v>2838814.4534913776</v>
      </c>
      <c r="U102" s="478">
        <f t="shared" si="8"/>
        <v>2764905.9314694451</v>
      </c>
      <c r="V102" s="478">
        <f t="shared" si="8"/>
        <v>2692876.7750157695</v>
      </c>
      <c r="W102" s="478">
        <f t="shared" si="8"/>
        <v>2621292.7167808642</v>
      </c>
      <c r="X102" s="478">
        <f t="shared" si="8"/>
        <v>2550021.7348939618</v>
      </c>
      <c r="Y102" s="478">
        <f t="shared" si="8"/>
        <v>21614092.04421762</v>
      </c>
    </row>
    <row r="103" spans="1:26">
      <c r="A103" s="3"/>
    </row>
    <row r="104" spans="1:26">
      <c r="A104" s="3" t="s">
        <v>619</v>
      </c>
      <c r="B104" s="491">
        <f>1/1.07</f>
        <v>0.93457943925233644</v>
      </c>
      <c r="C104" s="491">
        <f>B104/1.07</f>
        <v>0.87343872827321156</v>
      </c>
      <c r="D104" s="491">
        <f t="shared" ref="D104:Y104" si="9">C104/1.07</f>
        <v>0.81629787689085187</v>
      </c>
      <c r="E104" s="491">
        <f t="shared" si="9"/>
        <v>0.76289521204752508</v>
      </c>
      <c r="F104" s="491">
        <f t="shared" si="9"/>
        <v>0.71298617948366827</v>
      </c>
      <c r="G104" s="491">
        <f t="shared" si="9"/>
        <v>0.66634222381651231</v>
      </c>
      <c r="H104" s="491">
        <f t="shared" si="9"/>
        <v>0.62274974188459087</v>
      </c>
      <c r="I104" s="491">
        <f t="shared" si="9"/>
        <v>0.58200910456503818</v>
      </c>
      <c r="J104" s="491">
        <f t="shared" si="9"/>
        <v>0.54393374258414784</v>
      </c>
      <c r="K104" s="491">
        <f t="shared" si="9"/>
        <v>0.50834929213471758</v>
      </c>
      <c r="L104" s="491">
        <f t="shared" si="9"/>
        <v>0.4750927963875865</v>
      </c>
      <c r="M104" s="491">
        <f t="shared" si="9"/>
        <v>0.444011959240735</v>
      </c>
      <c r="N104" s="491">
        <f t="shared" si="9"/>
        <v>0.41496444788853737</v>
      </c>
      <c r="O104" s="491">
        <f t="shared" si="9"/>
        <v>0.38781724101732462</v>
      </c>
      <c r="P104" s="491">
        <f t="shared" si="9"/>
        <v>0.36244601964235945</v>
      </c>
      <c r="Q104" s="491">
        <f t="shared" si="9"/>
        <v>0.33873459779659759</v>
      </c>
      <c r="R104" s="491">
        <f t="shared" si="9"/>
        <v>0.3165743904641099</v>
      </c>
      <c r="S104" s="491">
        <f t="shared" si="9"/>
        <v>0.29586391632159803</v>
      </c>
      <c r="T104" s="491">
        <f t="shared" si="9"/>
        <v>0.27650833301083927</v>
      </c>
      <c r="U104" s="491">
        <f t="shared" si="9"/>
        <v>0.25841900281386848</v>
      </c>
      <c r="V104" s="491">
        <f t="shared" si="9"/>
        <v>0.24151308674193314</v>
      </c>
      <c r="W104" s="491">
        <f t="shared" si="9"/>
        <v>0.22571316517937676</v>
      </c>
      <c r="X104" s="491">
        <f t="shared" si="9"/>
        <v>0.21094688334521192</v>
      </c>
      <c r="Y104" s="491">
        <f t="shared" si="9"/>
        <v>0.19714661994879618</v>
      </c>
    </row>
    <row r="105" spans="1:26">
      <c r="A105" s="3"/>
      <c r="B105" s="478">
        <f t="shared" ref="B105:Y105" si="10">B99*B104</f>
        <v>-2400156.9239802686</v>
      </c>
      <c r="C105" s="478">
        <f t="shared" si="10"/>
        <v>-10572150.016880553</v>
      </c>
      <c r="D105" s="478">
        <f t="shared" si="10"/>
        <v>-3783460.1449479819</v>
      </c>
      <c r="E105" s="478">
        <f t="shared" si="10"/>
        <v>-2811869.5259923064</v>
      </c>
      <c r="F105" s="478">
        <f t="shared" si="10"/>
        <v>1848778.2788024992</v>
      </c>
      <c r="G105" s="478">
        <f t="shared" si="10"/>
        <v>3049610.6115573472</v>
      </c>
      <c r="H105" s="478">
        <f t="shared" si="10"/>
        <v>2874512.0994210625</v>
      </c>
      <c r="I105" s="478">
        <f t="shared" si="10"/>
        <v>2709630.6739196396</v>
      </c>
      <c r="J105" s="478">
        <f t="shared" si="10"/>
        <v>2554980.5601552879</v>
      </c>
      <c r="K105" s="478">
        <f t="shared" si="10"/>
        <v>2399687.091048894</v>
      </c>
      <c r="L105" s="478">
        <f t="shared" si="10"/>
        <v>2258039.4765844243</v>
      </c>
      <c r="M105" s="478">
        <f t="shared" si="10"/>
        <v>2124388.9382132548</v>
      </c>
      <c r="N105" s="478">
        <f t="shared" si="10"/>
        <v>1998266.1544758962</v>
      </c>
      <c r="O105" s="478">
        <f t="shared" si="10"/>
        <v>1879227.8115566906</v>
      </c>
      <c r="P105" s="478">
        <f t="shared" si="10"/>
        <v>1766855.1033594429</v>
      </c>
      <c r="Q105" s="478">
        <f t="shared" si="10"/>
        <v>1660752.3116562068</v>
      </c>
      <c r="R105" s="478">
        <f t="shared" si="10"/>
        <v>1560545.4618633385</v>
      </c>
      <c r="S105" s="478">
        <f t="shared" si="10"/>
        <v>1465881.0502183777</v>
      </c>
      <c r="T105" s="478">
        <f t="shared" si="10"/>
        <v>1376424.8383396727</v>
      </c>
      <c r="U105" s="478">
        <f t="shared" si="10"/>
        <v>1290474.1236764076</v>
      </c>
      <c r="V105" s="478">
        <f t="shared" si="10"/>
        <v>1209870.4459230693</v>
      </c>
      <c r="W105" s="478">
        <f t="shared" si="10"/>
        <v>1133682.2716664546</v>
      </c>
      <c r="X105" s="478">
        <f t="shared" si="10"/>
        <v>1061629.9537253468</v>
      </c>
      <c r="Y105" s="478">
        <f t="shared" si="10"/>
        <v>8662030.8285562098</v>
      </c>
    </row>
    <row r="108" spans="1:26">
      <c r="A108" s="36"/>
    </row>
    <row r="109" spans="1:26">
      <c r="A109" s="3"/>
      <c r="B109" s="487"/>
    </row>
    <row r="110" spans="1:26">
      <c r="B110" s="476">
        <v>2012</v>
      </c>
      <c r="C110" s="476">
        <v>2013</v>
      </c>
      <c r="D110" s="476">
        <v>2014</v>
      </c>
      <c r="E110" s="476">
        <v>2015</v>
      </c>
      <c r="F110" s="476">
        <v>2016</v>
      </c>
      <c r="G110" s="476">
        <v>2017</v>
      </c>
      <c r="H110" s="476">
        <v>2018</v>
      </c>
      <c r="I110" s="476">
        <v>2019</v>
      </c>
      <c r="J110" s="476">
        <v>2020</v>
      </c>
      <c r="K110" s="476">
        <v>2021</v>
      </c>
      <c r="L110" s="476">
        <v>2022</v>
      </c>
      <c r="M110" s="476">
        <v>2023</v>
      </c>
      <c r="N110" s="476">
        <v>2024</v>
      </c>
      <c r="O110" s="476">
        <v>2025</v>
      </c>
      <c r="P110" s="476">
        <v>2026</v>
      </c>
      <c r="Q110" s="476">
        <v>2027</v>
      </c>
      <c r="R110" s="476">
        <v>2028</v>
      </c>
      <c r="S110" s="476">
        <v>2029</v>
      </c>
      <c r="T110" s="476">
        <v>2030</v>
      </c>
      <c r="U110" s="476">
        <v>2031</v>
      </c>
      <c r="V110" s="476">
        <v>2032</v>
      </c>
      <c r="W110" s="476">
        <v>2033</v>
      </c>
      <c r="X110" s="476">
        <v>2034</v>
      </c>
      <c r="Y110" s="476">
        <v>2035</v>
      </c>
    </row>
    <row r="111" spans="1:26" ht="32.25" customHeight="1">
      <c r="A111" s="501" t="s">
        <v>634</v>
      </c>
      <c r="B111" s="476" t="s">
        <v>18</v>
      </c>
      <c r="C111" s="477" t="s">
        <v>19</v>
      </c>
      <c r="D111" s="477" t="s">
        <v>20</v>
      </c>
      <c r="E111" s="477" t="s">
        <v>21</v>
      </c>
      <c r="F111" s="477" t="s">
        <v>22</v>
      </c>
      <c r="G111" s="477" t="s">
        <v>23</v>
      </c>
      <c r="H111" s="477" t="s">
        <v>24</v>
      </c>
      <c r="I111" s="477" t="s">
        <v>25</v>
      </c>
      <c r="J111" s="477" t="s">
        <v>26</v>
      </c>
      <c r="K111" s="477" t="s">
        <v>27</v>
      </c>
      <c r="L111" s="477" t="s">
        <v>28</v>
      </c>
      <c r="M111" s="477" t="s">
        <v>29</v>
      </c>
      <c r="N111" s="477" t="s">
        <v>30</v>
      </c>
      <c r="O111" s="477" t="s">
        <v>31</v>
      </c>
      <c r="P111" s="477" t="s">
        <v>32</v>
      </c>
      <c r="Q111" s="477" t="s">
        <v>33</v>
      </c>
      <c r="R111" s="477" t="s">
        <v>34</v>
      </c>
      <c r="S111" s="477" t="s">
        <v>35</v>
      </c>
      <c r="T111" s="477" t="s">
        <v>36</v>
      </c>
      <c r="U111" s="477" t="s">
        <v>123</v>
      </c>
      <c r="V111" s="477" t="s">
        <v>245</v>
      </c>
      <c r="W111" s="477" t="s">
        <v>246</v>
      </c>
      <c r="X111" s="477" t="s">
        <v>247</v>
      </c>
      <c r="Y111" s="477" t="s">
        <v>248</v>
      </c>
    </row>
    <row r="112" spans="1:26" s="26" customFormat="1">
      <c r="A112" s="497" t="s">
        <v>367</v>
      </c>
      <c r="B112" s="506">
        <f>FT!F10+FT!F11+FT!F12+'Forest Glen'!F10+'Forest Glen'!F11+'Forest Glen'!F12+NC!F10+NC!F11+NC!F12+TB!F10+TB!F11+TB!F12+WH!F10+WH!F11+WH!F12+'A-N Drive'!F10+'A-N Drive'!F11+'A-N Drive'!F12</f>
        <v>0</v>
      </c>
      <c r="C112" s="506">
        <f>FT!G10+FT!G11+FT!G12+'Forest Glen'!G10+'Forest Glen'!G11+'Forest Glen'!G12+NC!G10+NC!G11+NC!G12+TB!G10+TB!G11+TB!G12+WH!G10+WH!G11+WH!G12+'A-N Drive'!G10+'A-N Drive'!G11+'A-N Drive'!G12</f>
        <v>494464.11016514746</v>
      </c>
      <c r="D112" s="506">
        <f>FT!H10+FT!H11+FT!H12+'Forest Glen'!H10+'Forest Glen'!H11+'Forest Glen'!H12+NC!H10+NC!H11+NC!H12+TB!H10+TB!H11+TB!H12+WH!H10+WH!H11+WH!H12+'A-N Drive'!H10+'A-N Drive'!H11+'A-N Drive'!H12</f>
        <v>5724875.2728175502</v>
      </c>
      <c r="E112" s="506">
        <f>FT!I10+FT!I11+FT!I12+'Forest Glen'!I10+'Forest Glen'!I11+'Forest Glen'!I12+NC!I10+NC!I11+NC!I12+TB!I10+TB!I11+TB!I12+WH!I10+WH!I11+WH!I12+'A-N Drive'!I10+'A-N Drive'!I11+'A-N Drive'!I12</f>
        <v>5728141.2924067741</v>
      </c>
      <c r="F112" s="506">
        <f>FT!J10+FT!J11+FT!J12+'Forest Glen'!J10+'Forest Glen'!J11+'Forest Glen'!J12+NC!J10+NC!J11+NC!J12+TB!J10+TB!J11+TB!J12+WH!J10+WH!J11+WH!J12+'A-N Drive'!J10+'A-N Drive'!J11+'A-N Drive'!J12</f>
        <v>5950202.812637452</v>
      </c>
      <c r="G112" s="506">
        <f>FT!K10+FT!K11+FT!K12+'Forest Glen'!K10+'Forest Glen'!K11+'Forest Glen'!K12+NC!K10+NC!K11+NC!K12+TB!K10+TB!K11+TB!K12+WH!K10+WH!K11+WH!K12+'A-N Drive'!K10+'A-N Drive'!K11+'A-N Drive'!K12</f>
        <v>6037258.7571523283</v>
      </c>
      <c r="H112" s="506">
        <f>FT!L10+FT!L11+FT!L12+'Forest Glen'!L10+'Forest Glen'!L11+'Forest Glen'!L12+NC!L10+NC!L11+NC!L12+TB!L10+TB!L11+TB!L12+WH!L10+WH!L11+WH!L12+'A-N Drive'!L10+'A-N Drive'!L11+'A-N Drive'!L12</f>
        <v>6051787.0062811598</v>
      </c>
      <c r="I112" s="506">
        <f>FT!M10+FT!M11+FT!M12+'Forest Glen'!M10+'Forest Glen'!M11+'Forest Glen'!M12+NC!M10+NC!M11+NC!M12+TB!M10+TB!M11+TB!M12+WH!M10+WH!M11+WH!M12+'A-N Drive'!M10+'A-N Drive'!M11+'A-N Drive'!M12</f>
        <v>6066734.435593456</v>
      </c>
      <c r="J112" s="506">
        <f>FT!N10+FT!N11+FT!N12+'Forest Glen'!N10+'Forest Glen'!N11+'Forest Glen'!N12+NC!N10+NC!N11+NC!N12+TB!N10+TB!N11+TB!N12+WH!N10+WH!N11+WH!N12+'A-N Drive'!N10+'A-N Drive'!N11+'A-N Drive'!N12</f>
        <v>6082116.6469756439</v>
      </c>
      <c r="K112" s="506">
        <f>FT!O10+FT!O11+FT!O12+'Forest Glen'!O10+'Forest Glen'!O11+'Forest Glen'!O12+NC!O10+NC!O11+NC!O12+TB!O10+TB!O11+TB!O12+WH!O10+WH!O11+WH!O12+'A-N Drive'!O10+'A-N Drive'!O11+'A-N Drive'!O12</f>
        <v>6144614.0284445975</v>
      </c>
      <c r="L112" s="506">
        <f>FT!P10+FT!P11+FT!P12+'Forest Glen'!P10+'Forest Glen'!P11+'Forest Glen'!P12+NC!P10+NC!P11+NC!P12+TB!P10+TB!P11+TB!P12+WH!P10+WH!P11+WH!P12+'A-N Drive'!P10+'A-N Drive'!P11+'A-N Drive'!P12</f>
        <v>6207111.5948080942</v>
      </c>
      <c r="M112" s="506">
        <f>FT!Q10+FT!Q11+FT!Q12+'Forest Glen'!Q10+'Forest Glen'!Q11+'Forest Glen'!Q12+NC!Q10+NC!Q11+NC!Q12+TB!Q10+TB!Q11+TB!Q12+WH!Q10+WH!Q11+WH!Q12+'A-N Drive'!Q10+'A-N Drive'!Q11+'A-N Drive'!Q12</f>
        <v>6269609.3462029565</v>
      </c>
      <c r="N112" s="506">
        <f>FT!R10+FT!R11+FT!R12+'Forest Glen'!R10+'Forest Glen'!R11+'Forest Glen'!R12+NC!R10+NC!R11+NC!R12+TB!R10+TB!R11+TB!R12+WH!R10+WH!R11+WH!R12+'A-N Drive'!R10+'A-N Drive'!R11+'A-N Drive'!R12</f>
        <v>6332107.2827661047</v>
      </c>
      <c r="O112" s="506">
        <f>FT!S10+FT!S11+FT!S12+'Forest Glen'!S10+'Forest Glen'!S11+'Forest Glen'!S12+NC!S10+NC!S11+NC!S12+TB!S10+TB!S11+TB!S12+WH!S10+WH!S11+WH!S12+'A-N Drive'!S10+'A-N Drive'!S11+'A-N Drive'!S12</f>
        <v>6394605.4046345651</v>
      </c>
      <c r="P112" s="506">
        <f>FT!T10+FT!T11+FT!T12+'Forest Glen'!T10+'Forest Glen'!T11+'Forest Glen'!T12+NC!T10+NC!T11+NC!T12+TB!T10+TB!T11+TB!T12+WH!T10+WH!T11+WH!T12+'A-N Drive'!T10+'A-N Drive'!T11+'A-N Drive'!T12</f>
        <v>6457103.7119454648</v>
      </c>
      <c r="Q112" s="506">
        <f>FT!U10+FT!U11+FT!U12+'Forest Glen'!U10+'Forest Glen'!U11+'Forest Glen'!U12+NC!U10+NC!U11+NC!U12+TB!U10+TB!U11+TB!U12+WH!U10+WH!U11+WH!U12+'A-N Drive'!U10+'A-N Drive'!U11+'A-N Drive'!U12</f>
        <v>6519602.2048360296</v>
      </c>
      <c r="R112" s="506">
        <f>FT!V10+FT!V11+FT!V12+'Forest Glen'!V10+'Forest Glen'!V11+'Forest Glen'!V12+NC!V10+NC!V11+NC!V12+TB!V10+TB!V11+TB!V12+WH!V10+WH!V11+WH!V12+'A-N Drive'!V10+'A-N Drive'!V11+'A-N Drive'!V12</f>
        <v>6582100.8834435884</v>
      </c>
      <c r="S112" s="506">
        <f>FT!W10+FT!W11+FT!W12+'Forest Glen'!W10+'Forest Glen'!W11+'Forest Glen'!W12+NC!W10+NC!W11+NC!W12+TB!W10+TB!W11+TB!W12+WH!W10+WH!W11+WH!W12+'A-N Drive'!W10+'A-N Drive'!W11+'A-N Drive'!W12</f>
        <v>6644599.747905571</v>
      </c>
      <c r="T112" s="506">
        <f>FT!X10+FT!X11+FT!X12+'Forest Glen'!X10+'Forest Glen'!X11+'Forest Glen'!X12+NC!X10+NC!X11+NC!X12+TB!X10+TB!X11+TB!X12+WH!X10+WH!X11+WH!X12+'A-N Drive'!X10+'A-N Drive'!X11+'A-N Drive'!X12</f>
        <v>6707098.7983595161</v>
      </c>
      <c r="U112" s="506">
        <f>FT!Y10+FT!Y11+FT!Y12+'Forest Glen'!Y10+'Forest Glen'!Y11+'Forest Glen'!Y12+NC!Y10+NC!Y11+NC!Y12+TB!Y10+TB!Y11+TB!Y12+WH!Y10+WH!Y11+WH!Y12+'A-N Drive'!Y10+'A-N Drive'!Y11+'A-N Drive'!Y12</f>
        <v>6769598.0349430479</v>
      </c>
      <c r="V112" s="506">
        <f>FT!Z10+FT!Z11+FT!Z12+'Forest Glen'!Z10+'Forest Glen'!Z11+'Forest Glen'!Z12+NC!Z10+NC!Z11+NC!Z12+TB!Z10+TB!Z11+TB!Z12+WH!Z10+WH!Z11+WH!Z12+'A-N Drive'!Z10+'A-N Drive'!Z11+'A-N Drive'!Z12</f>
        <v>6832097.4577939082</v>
      </c>
      <c r="W112" s="506">
        <f>FT!AA10+FT!AA11+FT!AA12+'Forest Glen'!AA10+'Forest Glen'!AA11+'Forest Glen'!AA12+NC!AA10+NC!AA11+NC!AA12+TB!AA10+TB!AA11+TB!AA12+WH!AA10+WH!AA11+WH!AA12+'A-N Drive'!AA10+'A-N Drive'!AA11+'A-N Drive'!AA12</f>
        <v>6894597.0670499336</v>
      </c>
      <c r="X112" s="506">
        <f>FT!AB10+FT!AB11+FT!AB12+'Forest Glen'!AB10+'Forest Glen'!AB11+'Forest Glen'!AB12+NC!AB10+NC!AB11+NC!AB12+TB!AB10+TB!AB11+TB!AB12+WH!AB10+WH!AB11+WH!AB12+'A-N Drive'!AB10+'A-N Drive'!AB11+'A-N Drive'!AB12</f>
        <v>6957096.862849066</v>
      </c>
      <c r="Y112" s="506">
        <f>FT!AC10+FT!AC11+FT!AC12+'Forest Glen'!AC10+'Forest Glen'!AC11+'Forest Glen'!AC12+NC!AC10+NC!AC11+NC!AC12+TB!AC10+TB!AC11+TB!AC12+WH!AC10+WH!AC11+WH!AC12+'A-N Drive'!AC10+'A-N Drive'!AC11+'A-N Drive'!AC12</f>
        <v>7019596.8453293415</v>
      </c>
    </row>
    <row r="113" spans="1:26" s="26" customFormat="1">
      <c r="A113" s="497" t="s">
        <v>277</v>
      </c>
      <c r="B113" s="506">
        <f>FT!F15+FT!F16+FT!F17+'Forest Glen'!F15+'Forest Glen'!F16+'Forest Glen'!F17+NC!F15+NC!F16+NC!F17+TB!F15+TB!F16+TB!F17+WH!F15+WH!F16+WH!F17+'A-N Drive'!F15+'A-N Drive'!F16+'A-N Drive'!F17+VRE!F11+VRE!F12+VRE!F13</f>
        <v>0</v>
      </c>
      <c r="C113" s="506">
        <f>FT!G15+FT!G16+FT!G17+'Forest Glen'!G15+'Forest Glen'!G16+'Forest Glen'!G17+NC!G15+NC!G16+NC!G17+TB!G15+TB!G16+TB!G17+WH!G15+WH!G16+WH!G17+'A-N Drive'!G15+'A-N Drive'!G16+'A-N Drive'!G17+VRE!G11+VRE!G12+VRE!G13</f>
        <v>14124.285972459418</v>
      </c>
      <c r="D113" s="506">
        <f>FT!H15+FT!H16+FT!H17+'Forest Glen'!H15+'Forest Glen'!H16+'Forest Glen'!H17+NC!H15+NC!H16+NC!H17+TB!H15+TB!H16+TB!H17+WH!H15+WH!H16+WH!H17+'A-N Drive'!H15+'A-N Drive'!H16+'A-N Drive'!H17+VRE!H11+VRE!H12+VRE!H13</f>
        <v>153484.86748573117</v>
      </c>
      <c r="E113" s="506">
        <f>FT!I15+FT!I16+FT!I17+'Forest Glen'!I15+'Forest Glen'!I16+'Forest Glen'!I17+NC!I15+NC!I16+NC!I17+TB!I15+TB!I16+TB!I17+WH!I15+WH!I16+WH!I17+'A-N Drive'!I15+'A-N Drive'!I16+'A-N Drive'!I17+VRE!I11+VRE!I12+VRE!I13</f>
        <v>155716.85741353856</v>
      </c>
      <c r="F113" s="506">
        <f>FT!J15+FT!J16+FT!J17+'Forest Glen'!J15+'Forest Glen'!J16+'Forest Glen'!J17+NC!J15+NC!J16+NC!J17+TB!J15+TB!J16+TB!J17+WH!J15+WH!J16+WH!J17+'A-N Drive'!J15+'A-N Drive'!J16+'A-N Drive'!J17+VRE!J11+VRE!J12+VRE!J13</f>
        <v>162321.55600036494</v>
      </c>
      <c r="G113" s="506">
        <f>FT!K15+FT!K16+FT!K17+'Forest Glen'!K15+'Forest Glen'!K16+'Forest Glen'!K17+NC!K15+NC!K16+NC!K17+TB!K15+TB!K16+TB!K17+WH!K15+WH!K16+WH!K17+'A-N Drive'!K15+'A-N Drive'!K16+'A-N Drive'!K17+VRE!K11+VRE!K12+VRE!K13</f>
        <v>166428.21040555046</v>
      </c>
      <c r="H113" s="506">
        <f>FT!L15+FT!L16+FT!L17+'Forest Glen'!L15+'Forest Glen'!L16+'Forest Glen'!L17+NC!L15+NC!L16+NC!L17+TB!L15+TB!L16+TB!L17+WH!L15+WH!L16+WH!L17+'A-N Drive'!L15+'A-N Drive'!L16+'A-N Drive'!L17+VRE!L11+VRE!L12+VRE!L13</f>
        <v>169269.6217154082</v>
      </c>
      <c r="I113" s="506">
        <f>FT!M15+FT!M16+FT!M17+'Forest Glen'!M15+'Forest Glen'!M16+'Forest Glen'!M17+NC!M15+NC!M16+NC!M17+TB!M15+TB!M16+TB!M17+WH!M15+WH!M16+WH!M17+'A-N Drive'!M15+'A-N Drive'!M16+'A-N Drive'!M17+VRE!M11+VRE!M12+VRE!M13</f>
        <v>172284.62752068369</v>
      </c>
      <c r="J113" s="506">
        <f>FT!N15+FT!N16+FT!N17+'Forest Glen'!N15+'Forest Glen'!N16+'Forest Glen'!N17+NC!N15+NC!N16+NC!N17+TB!N15+TB!N16+TB!N17+WH!N15+WH!N16+WH!N17+'A-N Drive'!N15+'A-N Drive'!N16+'A-N Drive'!N17+VRE!N11+VRE!N12+VRE!N13</f>
        <v>175495.29553090644</v>
      </c>
      <c r="K113" s="506">
        <f>FT!O15+FT!O16+FT!O17+'Forest Glen'!O15+'Forest Glen'!O16+'Forest Glen'!O17+NC!O15+NC!O16+NC!O17+TB!O15+TB!O16+TB!O17+WH!O15+WH!O16+WH!O17+'A-N Drive'!O15+'A-N Drive'!O16+'A-N Drive'!O17+VRE!O11+VRE!O12+VRE!O13</f>
        <v>178841.42092855059</v>
      </c>
      <c r="L113" s="506">
        <f>FT!P15+FT!P16+FT!P17+'Forest Glen'!P15+'Forest Glen'!P16+'Forest Glen'!P17+NC!P15+NC!P16+NC!P17+TB!P15+TB!P16+TB!P17+WH!P15+WH!P16+WH!P17+'A-N Drive'!P15+'A-N Drive'!P16+'A-N Drive'!P17+VRE!P11+VRE!P12+VRE!P13</f>
        <v>182427.56311696599</v>
      </c>
      <c r="M113" s="506">
        <f>FT!Q15+FT!Q16+FT!Q17+'Forest Glen'!Q15+'Forest Glen'!Q16+'Forest Glen'!Q17+NC!Q15+NC!Q16+NC!Q17+TB!Q15+TB!Q16+TB!Q17+WH!Q15+WH!Q16+WH!Q17+'A-N Drive'!Q15+'A-N Drive'!Q16+'A-N Drive'!Q17+VRE!Q11+VRE!Q12+VRE!Q13</f>
        <v>186285.63515314041</v>
      </c>
      <c r="N113" s="506">
        <f>FT!R15+FT!R16+FT!R17+'Forest Glen'!R15+'Forest Glen'!R16+'Forest Glen'!R17+NC!R15+NC!R16+NC!R17+TB!R15+TB!R16+TB!R17+WH!R15+WH!R16+WH!R17+'A-N Drive'!R15+'A-N Drive'!R16+'A-N Drive'!R17+VRE!R11+VRE!R12+VRE!R13</f>
        <v>190451.89738488744</v>
      </c>
      <c r="O113" s="506">
        <f>FT!S15+FT!S16+FT!S17+'Forest Glen'!S15+'Forest Glen'!S16+'Forest Glen'!S17+NC!S15+NC!S16+NC!S17+TB!S15+TB!S16+TB!S17+WH!S15+WH!S16+WH!S17+'A-N Drive'!S15+'A-N Drive'!S16+'A-N Drive'!S17+VRE!S11+VRE!S12+VRE!S13</f>
        <v>194967.55179193089</v>
      </c>
      <c r="P113" s="506">
        <f>FT!T15+FT!T16+FT!T17+'Forest Glen'!T15+'Forest Glen'!T16+'Forest Glen'!T17+NC!T15+NC!T16+NC!T17+TB!T15+TB!T16+TB!T17+WH!T15+WH!T16+WH!T17+'A-N Drive'!T15+'A-N Drive'!T16+'A-N Drive'!T17+VRE!T11+VRE!T12+VRE!T13</f>
        <v>199879.41762548391</v>
      </c>
      <c r="Q113" s="506">
        <f>FT!U15+FT!U16+FT!U17+'Forest Glen'!U15+'Forest Glen'!U16+'Forest Glen'!U17+NC!U15+NC!U16+NC!U17+TB!U15+TB!U16+TB!U17+WH!U15+WH!U16+WH!U17+'A-N Drive'!U15+'A-N Drive'!U16+'A-N Drive'!U17+VRE!U11+VRE!U12+VRE!U13</f>
        <v>205240.69946780862</v>
      </c>
      <c r="R113" s="506">
        <f>FT!V15+FT!V16+FT!V17+'Forest Glen'!V15+'Forest Glen'!V16+'Forest Glen'!V17+NC!V15+NC!V16+NC!V17+TB!V15+TB!V16+TB!V17+WH!V15+WH!V16+WH!V17+'A-N Drive'!V15+'A-N Drive'!V16+'A-N Drive'!V17+VRE!V11+VRE!V12+VRE!V13</f>
        <v>211111.8603546606</v>
      </c>
      <c r="S113" s="506">
        <f>FT!W15+FT!W16+FT!W17+'Forest Glen'!W15+'Forest Glen'!W16+'Forest Glen'!W17+NC!W15+NC!W16+NC!W17+TB!W15+TB!W16+TB!W17+WH!W15+WH!W16+WH!W17+'A-N Drive'!W15+'A-N Drive'!W16+'A-N Drive'!W17+VRE!W11+VRE!W12+VRE!W13</f>
        <v>217561.61433306636</v>
      </c>
      <c r="T113" s="506">
        <f>FT!X15+FT!X16+FT!X17+'Forest Glen'!X15+'Forest Glen'!X16+'Forest Glen'!X17+NC!X15+NC!X16+NC!X17+TB!X15+TB!X16+TB!X17+WH!X15+WH!X16+WH!X17+'A-N Drive'!X15+'A-N Drive'!X16+'A-N Drive'!X17+VRE!X11+VRE!X12+VRE!X13</f>
        <v>224668.05479303203</v>
      </c>
      <c r="U113" s="506">
        <f>FT!Y15+FT!Y16+FT!Y17+'Forest Glen'!Y15+'Forest Glen'!Y16+'Forest Glen'!Y17+NC!Y15+NC!Y16+NC!Y17+TB!Y15+TB!Y16+TB!Y17+WH!Y15+WH!Y16+WH!Y17+'A-N Drive'!Y15+'A-N Drive'!Y16+'A-N Drive'!Y17+VRE!Y11+VRE!Y12+VRE!Y13</f>
        <v>232519.9371468967</v>
      </c>
      <c r="V113" s="506">
        <f>FT!Z15+FT!Z16+FT!Z17+'Forest Glen'!Z15+'Forest Glen'!Z16+'Forest Glen'!Z17+NC!Z15+NC!Z16+NC!Z17+TB!Z15+TB!Z16+TB!Z17+WH!Z15+WH!Z16+WH!Z17+'A-N Drive'!Z15+'A-N Drive'!Z16+'A-N Drive'!Z17+VRE!Z11+VRE!Z12+VRE!Z13</f>
        <v>241218.13697092619</v>
      </c>
      <c r="W113" s="506">
        <f>FT!AA15+FT!AA16+FT!AA17+'Forest Glen'!AA15+'Forest Glen'!AA16+'Forest Glen'!AA17+NC!AA15+NC!AA16+NC!AA17+TB!AA15+TB!AA16+TB!AA17+WH!AA15+WH!AA16+WH!AA17+'A-N Drive'!AA15+'A-N Drive'!AA16+'A-N Drive'!AA17+VRE!AA11+VRE!AA12+VRE!AA13</f>
        <v>250877.30761221581</v>
      </c>
      <c r="X113" s="506">
        <f>FT!AB15+FT!AB16+FT!AB17+'Forest Glen'!AB15+'Forest Glen'!AB16+'Forest Glen'!AB17+NC!AB15+NC!AB16+NC!AB17+TB!AB15+TB!AB16+TB!AB17+WH!AB15+WH!AB16+WH!AB17+'A-N Drive'!AB15+'A-N Drive'!AB16+'A-N Drive'!AB17+VRE!AB11+VRE!AB12+VRE!AB13</f>
        <v>261627.76454758673</v>
      </c>
      <c r="Y113" s="506">
        <f>FT!AC15+FT!AC16+FT!AC17+'Forest Glen'!AC15+'Forest Glen'!AC16+'Forest Glen'!AC17+NC!AC15+NC!AC16+NC!AC17+TB!AC15+TB!AC16+TB!AC17+WH!AC15+WH!AC16+WH!AC17+'A-N Drive'!AC15+'A-N Drive'!AC16+'A-N Drive'!AC17+VRE!AC11+VRE!AC12+VRE!AC13</f>
        <v>273617.62751397601</v>
      </c>
    </row>
    <row r="114" spans="1:26" s="26" customFormat="1">
      <c r="A114" s="497" t="s">
        <v>413</v>
      </c>
      <c r="B114" s="219">
        <f>SUM('Forest Glen'!F20:F26)+SUM('A-N Drive'!F20:F26)</f>
        <v>0</v>
      </c>
      <c r="C114" s="219">
        <f>SUM('Forest Glen'!G20:G26)+SUM('A-N Drive'!G20:G26)</f>
        <v>182500</v>
      </c>
      <c r="D114" s="219">
        <f>SUM('Forest Glen'!H20:H26)+SUM('A-N Drive'!H20:H26)</f>
        <v>184325</v>
      </c>
      <c r="E114" s="506">
        <f>SUM('Forest Glen'!I20:I26)+SUM('A-N Drive'!I20:I26)</f>
        <v>186168.25</v>
      </c>
      <c r="F114" s="506">
        <f>SUM('Forest Glen'!J20:J26)+SUM('A-N Drive'!J20:J26)</f>
        <v>255529.93250000002</v>
      </c>
      <c r="G114" s="506">
        <f>SUM('Forest Glen'!K20:K26)+SUM('A-N Drive'!K20:K26)</f>
        <v>282072.73182500002</v>
      </c>
      <c r="H114" s="506">
        <f>SUM('Forest Glen'!L20:L26)+SUM('A-N Drive'!L20:L26)</f>
        <v>284893.45914325002</v>
      </c>
      <c r="I114" s="219">
        <f>SUM('Forest Glen'!M20:M26)+SUM('A-N Drive'!M20:M26)</f>
        <v>287742.39373468253</v>
      </c>
      <c r="J114" s="219">
        <f>SUM('Forest Glen'!N20:N26)+SUM('A-N Drive'!N20:N26)</f>
        <v>290619.81767202937</v>
      </c>
      <c r="K114" s="219">
        <f>SUM('Forest Glen'!O20:O26)+SUM('A-N Drive'!O20:O26)</f>
        <v>293526.01584874967</v>
      </c>
      <c r="L114" s="219">
        <f>SUM('Forest Glen'!P20:P26)+SUM('A-N Drive'!P20:P26)</f>
        <v>296461.27600723715</v>
      </c>
      <c r="M114" s="219">
        <f>SUM('Forest Glen'!Q20:Q26)+SUM('A-N Drive'!Q20:Q26)</f>
        <v>299425.88876730949</v>
      </c>
      <c r="N114" s="219">
        <f>SUM('Forest Glen'!R20:R26)+SUM('A-N Drive'!R20:R26)</f>
        <v>302420.14765498263</v>
      </c>
      <c r="O114" s="219">
        <f>SUM('Forest Glen'!S20:S26)+SUM('A-N Drive'!S20:S26)</f>
        <v>305444.34913153248</v>
      </c>
      <c r="P114" s="219">
        <f>SUM('Forest Glen'!T20:T26)+SUM('A-N Drive'!T20:T26)</f>
        <v>308498.79262284777</v>
      </c>
      <c r="Q114" s="219">
        <f>SUM('Forest Glen'!U20:U26)+SUM('A-N Drive'!U20:U26)</f>
        <v>311583.78054907621</v>
      </c>
      <c r="R114" s="219">
        <f>SUM('Forest Glen'!V20:V26)+SUM('A-N Drive'!V20:V26)</f>
        <v>314699.61835456704</v>
      </c>
      <c r="S114" s="219">
        <f>SUM('Forest Glen'!W20:W26)+SUM('A-N Drive'!W20:W26)</f>
        <v>317846.61453811266</v>
      </c>
      <c r="T114" s="219">
        <f>SUM('Forest Glen'!X20:X26)+SUM('A-N Drive'!X20:X26)</f>
        <v>321025.08068349381</v>
      </c>
      <c r="U114" s="219">
        <f>SUM('Forest Glen'!Y20:Y26)+SUM('A-N Drive'!Y20:Y26)</f>
        <v>324235.33149032877</v>
      </c>
      <c r="V114" s="219">
        <f>SUM('Forest Glen'!Z20:Z26)+SUM('A-N Drive'!Z20:Z26)</f>
        <v>327477.68480523198</v>
      </c>
      <c r="W114" s="219">
        <f>SUM('Forest Glen'!AA20:AA26)+SUM('A-N Drive'!AA20:AA26)</f>
        <v>330752.46165328438</v>
      </c>
      <c r="X114" s="219">
        <f>SUM('Forest Glen'!AB20:AB26)+SUM('A-N Drive'!AB20:AB26)</f>
        <v>334059.98626981722</v>
      </c>
      <c r="Y114" s="506">
        <f>SUM('Forest Glen'!AC20:AC26)+SUM('A-N Drive'!AC20:AC26)</f>
        <v>337400.5861325154</v>
      </c>
    </row>
    <row r="115" spans="1:26" s="26" customFormat="1">
      <c r="A115" s="497" t="s">
        <v>368</v>
      </c>
      <c r="B115" s="219">
        <f>'Forest Glen'!F29+'Forest Glen'!F30+'Forest Glen'!F31</f>
        <v>0</v>
      </c>
      <c r="C115" s="219">
        <f>'Forest Glen'!G29+'Forest Glen'!G30+'Forest Glen'!G31</f>
        <v>0</v>
      </c>
      <c r="D115" s="219">
        <f>'Forest Glen'!H29+'Forest Glen'!H30+'Forest Glen'!H31</f>
        <v>0</v>
      </c>
      <c r="E115" s="219">
        <f>'Forest Glen'!I29+'Forest Glen'!I30+'Forest Glen'!I31</f>
        <v>0</v>
      </c>
      <c r="F115" s="219">
        <f>'Forest Glen'!J29+'Forest Glen'!J30+'Forest Glen'!J31</f>
        <v>2564.3258338874753</v>
      </c>
      <c r="G115" s="219">
        <f>'Forest Glen'!K29+'Forest Glen'!K30+'Forest Glen'!K31</f>
        <v>3546.3600552330213</v>
      </c>
      <c r="H115" s="219">
        <f>'Forest Glen'!L29+'Forest Glen'!L30+'Forest Glen'!L31</f>
        <v>3678.3555764887951</v>
      </c>
      <c r="I115" s="219">
        <f>'Forest Glen'!M29+'Forest Glen'!M30+'Forest Glen'!M31</f>
        <v>3815.2639710457083</v>
      </c>
      <c r="J115" s="219">
        <f>'Forest Glen'!N29+'Forest Glen'!N30+'Forest Glen'!N31</f>
        <v>3957.2680960480302</v>
      </c>
      <c r="K115" s="219">
        <f>'Forest Glen'!O29+'Forest Glen'!O30+'Forest Glen'!O31</f>
        <v>3960.1964744391053</v>
      </c>
      <c r="L115" s="219">
        <f>'Forest Glen'!P29+'Forest Glen'!P30+'Forest Glen'!P31</f>
        <v>3963.1270198301904</v>
      </c>
      <c r="M115" s="219">
        <f>'Forest Glen'!Q29+'Forest Glen'!Q30+'Forest Glen'!Q31</f>
        <v>3966.0597338248645</v>
      </c>
      <c r="N115" s="219">
        <f>'Forest Glen'!R29+'Forest Glen'!R30+'Forest Glen'!R31</f>
        <v>3968.9946180278944</v>
      </c>
      <c r="O115" s="219">
        <f>'Forest Glen'!S29+'Forest Glen'!S30+'Forest Glen'!S31</f>
        <v>3971.931674045235</v>
      </c>
      <c r="P115" s="219">
        <f>'Forest Glen'!T29+'Forest Glen'!T30+'Forest Glen'!T31</f>
        <v>3974.8709034840281</v>
      </c>
      <c r="Q115" s="219">
        <f>'Forest Glen'!U29+'Forest Glen'!U30+'Forest Glen'!U31</f>
        <v>3977.8123079526067</v>
      </c>
      <c r="R115" s="219">
        <f>'Forest Glen'!V29+'Forest Glen'!V30+'Forest Glen'!V31</f>
        <v>3980.755889060491</v>
      </c>
      <c r="S115" s="219">
        <f>'Forest Glen'!W29+'Forest Glen'!W30+'Forest Glen'!W31</f>
        <v>3983.7016484183951</v>
      </c>
      <c r="T115" s="219">
        <f>'Forest Glen'!X29+'Forest Glen'!X30+'Forest Glen'!X31</f>
        <v>3986.6495876382246</v>
      </c>
      <c r="U115" s="219">
        <f>'Forest Glen'!Y29+'Forest Glen'!Y30+'Forest Glen'!Y31</f>
        <v>3989.5997083330776</v>
      </c>
      <c r="V115" s="219">
        <f>'Forest Glen'!Z29+'Forest Glen'!Z30+'Forest Glen'!Z31</f>
        <v>3992.5520121172435</v>
      </c>
      <c r="W115" s="219">
        <f>'Forest Glen'!AA29+'Forest Glen'!AA30+'Forest Glen'!AA31</f>
        <v>3995.50650060621</v>
      </c>
      <c r="X115" s="219">
        <f>'Forest Glen'!AB29+'Forest Glen'!AB30+'Forest Glen'!AB31</f>
        <v>3998.4631754166589</v>
      </c>
      <c r="Y115" s="219">
        <f>'Forest Glen'!AC29+'Forest Glen'!AC30+'Forest Glen'!AC31</f>
        <v>4001.4220381664668</v>
      </c>
    </row>
    <row r="116" spans="1:26" s="26" customFormat="1">
      <c r="A116" s="497" t="s">
        <v>630</v>
      </c>
      <c r="B116" s="506">
        <f>FT!F12+FT!F17+'Forest Glen'!F12+'Forest Glen'!F17+'Forest Glen'!F24+'Forest Glen'!F26+'Forest Glen'!F31+NC!F12+NC!F17+TB!F12+TB!F17+WH!F12+WH!F17++'A-N Drive'!F12+'A-N Drive'!F17+'A-N Drive'!F24+'A-N Drive'!F26+VRE!F13</f>
        <v>0</v>
      </c>
      <c r="C116" s="506">
        <f>FT!G12+FT!G17+'Forest Glen'!G12+'Forest Glen'!G17+'Forest Glen'!G24+'Forest Glen'!G26+'Forest Glen'!G31+NC!G12+NC!G17+TB!G12+TB!G17+WH!G12+WH!G17++'A-N Drive'!G12+'A-N Drive'!G17+'A-N Drive'!G24+'A-N Drive'!G26+VRE!G13</f>
        <v>71039.657303395143</v>
      </c>
      <c r="D116" s="506">
        <f>FT!H12+FT!H17+'Forest Glen'!H12+'Forest Glen'!H17+'Forest Glen'!H24+'Forest Glen'!H26+'Forest Glen'!H31+NC!H12+NC!H17+TB!H12+TB!H17+WH!H12+WH!H17++'A-N Drive'!H12+'A-N Drive'!H17+'A-N Drive'!H24+'A-N Drive'!H26+VRE!H13</f>
        <v>145342.1819982485</v>
      </c>
      <c r="E116" s="506">
        <f>FT!I12+FT!I17+'Forest Glen'!I12+'Forest Glen'!I17+'Forest Glen'!I24+'Forest Glen'!I26+'Forest Glen'!I31+NC!I12+NC!I17+TB!I12+TB!I17+WH!I12+WH!I17++'A-N Drive'!I12+'A-N Drive'!I17+'A-N Drive'!I24+'A-N Drive'!I26+VRE!I13</f>
        <v>146386.60861721155</v>
      </c>
      <c r="F116" s="506">
        <f>FT!J12+FT!J17+'Forest Glen'!J12+'Forest Glen'!J17+'Forest Glen'!J24+'Forest Glen'!J26+'Forest Glen'!J31+NC!J12+NC!J17+TB!J12+TB!J17+WH!J12+WH!J17++'A-N Drive'!J12+'A-N Drive'!J17+'A-N Drive'!J24+'A-N Drive'!J26+VRE!J13</f>
        <v>184854.41363119168</v>
      </c>
      <c r="G116" s="506">
        <f>FT!K12+FT!K17+'Forest Glen'!K12+'Forest Glen'!K17+'Forest Glen'!K24+'Forest Glen'!K26+'Forest Glen'!K31+NC!K12+NC!K17+TB!K12+TB!K17+WH!K12+WH!K17++'A-N Drive'!K12+'A-N Drive'!K17+'A-N Drive'!K24+'A-N Drive'!K26+VRE!K13</f>
        <v>199772.06962927597</v>
      </c>
      <c r="H116" s="506">
        <f>FT!L12+FT!L17+'Forest Glen'!L12+'Forest Glen'!L17+'Forest Glen'!L24+'Forest Glen'!L26+'Forest Glen'!L31+NC!L12+NC!L17+TB!L12+TB!L17+WH!L12+WH!L17++'A-N Drive'!L12+'A-N Drive'!L17+'A-N Drive'!L24+'A-N Drive'!L26+VRE!L13</f>
        <v>201752.53236832132</v>
      </c>
      <c r="I116" s="506">
        <f>FT!M12+FT!M17+'Forest Glen'!M12+'Forest Glen'!M17+'Forest Glen'!M24+'Forest Glen'!M26+'Forest Glen'!M31+NC!M12+NC!M17+TB!M12+TB!M17+WH!M12+WH!M17++'A-N Drive'!M12+'A-N Drive'!M17+'A-N Drive'!M24+'A-N Drive'!M26+VRE!M13</f>
        <v>203768.49963946312</v>
      </c>
      <c r="J116" s="506">
        <f>FT!N12+FT!N17+'Forest Glen'!N12+'Forest Glen'!N17+'Forest Glen'!N24+'Forest Glen'!N26+'Forest Glen'!N31+NC!N12+NC!N17+TB!N12+TB!N17+WH!N12+WH!N17++'A-N Drive'!N12+'A-N Drive'!N17+'A-N Drive'!N24+'A-N Drive'!N26+VRE!N13</f>
        <v>205821.60850891776</v>
      </c>
      <c r="K116" s="506">
        <f>FT!O12+FT!O17+'Forest Glen'!O12+'Forest Glen'!O17+'Forest Glen'!O24+'Forest Glen'!O26+'Forest Glen'!O31+NC!O12+NC!O17+TB!O12+TB!O17+WH!O12+WH!O17++'A-N Drive'!O12+'A-N Drive'!O17+'A-N Drive'!O24+'A-N Drive'!O26+VRE!O13</f>
        <v>207641.67404758921</v>
      </c>
      <c r="L116" s="506">
        <f>FT!P12+FT!P17+'Forest Glen'!P12+'Forest Glen'!P17+'Forest Glen'!P24+'Forest Glen'!P26+'Forest Glen'!P31+NC!P12+NC!P17+TB!P12+TB!P17+WH!P12+WH!P17++'A-N Drive'!P12+'A-N Drive'!P17+'A-N Drive'!P24+'A-N Drive'!P26+VRE!P13</f>
        <v>209480.3292229806</v>
      </c>
      <c r="M116" s="506">
        <f>FT!Q12+FT!Q17+'Forest Glen'!Q12+'Forest Glen'!Q17+'Forest Glen'!Q24+'Forest Glen'!Q26+'Forest Glen'!Q31+NC!Q12+NC!Q17+TB!Q12+TB!Q17+WH!Q12+WH!Q17++'A-N Drive'!Q12+'A-N Drive'!Q17+'A-N Drive'!Q24+'A-N Drive'!Q26+VRE!Q13</f>
        <v>211338.84394166883</v>
      </c>
      <c r="N116" s="506">
        <f>FT!R12+FT!R17+'Forest Glen'!R12+'Forest Glen'!R17+'Forest Glen'!R24+'Forest Glen'!R26+'Forest Glen'!R31+NC!R12+NC!R17+TB!R12+TB!R17+WH!R12+WH!R17++'A-N Drive'!R12+'A-N Drive'!R17+'A-N Drive'!R24+'A-N Drive'!R26+VRE!R13</f>
        <v>213218.64865260539</v>
      </c>
      <c r="O116" s="506">
        <f>FT!S12+FT!S17+'Forest Glen'!S12+'Forest Glen'!S17+'Forest Glen'!S24+'Forest Glen'!S26+'Forest Glen'!S31+NC!S12+NC!S17+TB!S12+TB!S17+WH!S12+WH!S17++'A-N Drive'!S12+'A-N Drive'!S17+'A-N Drive'!S24+'A-N Drive'!S26+VRE!S13</f>
        <v>215121.35616830538</v>
      </c>
      <c r="P116" s="506">
        <f>FT!T12+FT!T17+'Forest Glen'!T12+'Forest Glen'!T17+'Forest Glen'!T24+'Forest Glen'!T26+'Forest Glen'!T31+NC!T12+NC!T17+TB!T12+TB!T17+WH!T12+WH!T17++'A-N Drive'!T12+'A-N Drive'!T17+'A-N Drive'!T24+'A-N Drive'!T26+VRE!T13</f>
        <v>217048.7864695811</v>
      </c>
      <c r="Q116" s="506">
        <f>FT!U12+FT!U17+'Forest Glen'!U12+'Forest Glen'!U17+'Forest Glen'!U24+'Forest Glen'!U26+'Forest Glen'!U31+NC!U12+NC!U17+TB!U12+TB!U17+WH!U12+WH!U17++'A-N Drive'!U12+'A-N Drive'!U17+'A-N Drive'!U24+'A-N Drive'!U26+VRE!U13</f>
        <v>219002.99490194939</v>
      </c>
      <c r="R116" s="506">
        <f>FT!V12+FT!V17+'Forest Glen'!V12+'Forest Glen'!V17+'Forest Glen'!V24+'Forest Glen'!V26+'Forest Glen'!V31+NC!V12+NC!V17+TB!V12+TB!V17+WH!V12+WH!V17++'A-N Drive'!V12+'A-N Drive'!V17+'A-N Drive'!V24+'A-N Drive'!V26+VRE!V13</f>
        <v>220986.30422767339</v>
      </c>
      <c r="S116" s="506">
        <f>FT!W12+FT!W17+'Forest Glen'!W12+'Forest Glen'!W17+'Forest Glen'!W24+'Forest Glen'!W26+'Forest Glen'!W31+NC!W12+NC!W17+TB!W12+TB!W17+WH!W12+WH!W17++'A-N Drive'!W12+'A-N Drive'!W17+'A-N Drive'!W24+'A-N Drive'!W26+VRE!W13</f>
        <v>223001.34106087015</v>
      </c>
      <c r="T116" s="506">
        <f>FT!X12+FT!X17+'Forest Glen'!X12+'Forest Glen'!X17+'Forest Glen'!X24+'Forest Glen'!X26+'Forest Glen'!X31+NC!X12+NC!X17+TB!X12+TB!X17+WH!X12+WH!X17++'A-N Drive'!X12+'A-N Drive'!X17+'A-N Drive'!X24+'A-N Drive'!X26+VRE!X13</f>
        <v>225051.07728526657</v>
      </c>
      <c r="U116" s="506">
        <f>FT!Y12+FT!Y17+'Forest Glen'!Y12+'Forest Glen'!Y17+'Forest Glen'!Y24+'Forest Glen'!Y26+'Forest Glen'!Y31+NC!Y12+NC!Y17+TB!Y12+TB!Y17+WH!Y12+WH!Y17++'A-N Drive'!Y12+'A-N Drive'!Y17+'A-N Drive'!Y24+'A-N Drive'!Y26+VRE!Y13</f>
        <v>227138.87713620852</v>
      </c>
      <c r="V116" s="506">
        <f>FT!Z12+FT!Z17+'Forest Glen'!Z12+'Forest Glen'!Z17+'Forest Glen'!Z24+'Forest Glen'!Z26+'Forest Glen'!Z31+NC!Z12+NC!Z17+TB!Z12+TB!Z17+WH!Z12+WH!Z17++'A-N Drive'!Z12+'A-N Drive'!Z17+'A-N Drive'!Z24+'A-N Drive'!Z26+VRE!Z13</f>
        <v>229268.55072177399</v>
      </c>
      <c r="W116" s="506">
        <f>FT!AA12+FT!AA17+'Forest Glen'!AA12+'Forest Glen'!AA17+'Forest Glen'!AA24+'Forest Glen'!AA26+'Forest Glen'!AA31+NC!AA12+NC!AA17+TB!AA12+TB!AA17+WH!AA12+WH!AA17++'A-N Drive'!AA12+'A-N Drive'!AA17+'A-N Drive'!AA24+'A-N Drive'!AA26+VRE!AA13</f>
        <v>231444.41486383585</v>
      </c>
      <c r="X116" s="506">
        <f>FT!AB12+FT!AB17+'Forest Glen'!AB12+'Forest Glen'!AB17+'Forest Glen'!AB24+'Forest Glen'!AB26+'Forest Glen'!AB31+NC!AB12+NC!AB17+TB!AB12+TB!AB17+WH!AB12+WH!AB17++'A-N Drive'!AB12+'A-N Drive'!AB17+'A-N Drive'!AB24+'A-N Drive'!AB26+VRE!AB13</f>
        <v>233671.36226042412</v>
      </c>
      <c r="Y116" s="506">
        <f>FT!AC12+FT!AC17+'Forest Glen'!AC12+'Forest Glen'!AC17+'Forest Glen'!AC24+'Forest Glen'!AC26+'Forest Glen'!AC31+NC!AC12+NC!AC17+TB!AC12+TB!AC17+WH!AC12+WH!AC17++'A-N Drive'!AC12+'A-N Drive'!AC17+'A-N Drive'!AC24+'A-N Drive'!AC26+VRE!AC13</f>
        <v>235954.94010771721</v>
      </c>
    </row>
    <row r="117" spans="1:26" s="26" customFormat="1">
      <c r="A117" s="507" t="s">
        <v>436</v>
      </c>
      <c r="B117" s="508"/>
      <c r="C117" s="508"/>
      <c r="D117" s="508"/>
      <c r="E117" s="508"/>
      <c r="F117" s="508"/>
      <c r="G117" s="508"/>
      <c r="H117" s="508"/>
      <c r="I117" s="508"/>
      <c r="J117" s="508"/>
      <c r="K117" s="508"/>
      <c r="L117" s="508"/>
      <c r="M117" s="508"/>
      <c r="N117" s="508"/>
      <c r="O117" s="508"/>
      <c r="P117" s="508"/>
      <c r="Q117" s="508"/>
      <c r="R117" s="508"/>
      <c r="S117" s="508"/>
      <c r="T117" s="508"/>
      <c r="U117" s="508"/>
      <c r="V117" s="508"/>
      <c r="W117" s="508"/>
      <c r="X117" s="508"/>
      <c r="Y117" s="508"/>
    </row>
    <row r="118" spans="1:26" s="26" customFormat="1">
      <c r="A118" s="500" t="s">
        <v>505</v>
      </c>
      <c r="B118" s="509">
        <f>FT!F20+'Forest Glen'!F34+NC!F20+TB!F20+WH!F20+'A-N Drive'!F29+VRE!F17</f>
        <v>0</v>
      </c>
      <c r="C118" s="509">
        <f>FT!G20+'Forest Glen'!G34+NC!G20+TB!G20+WH!G20+'A-N Drive'!G29+VRE!G17</f>
        <v>114369.70521707243</v>
      </c>
      <c r="D118" s="509">
        <f>FT!H20+'Forest Glen'!H34+NC!H20+TB!H20+WH!H20+'A-N Drive'!H29+VRE!H17</f>
        <v>285626.60988211696</v>
      </c>
      <c r="E118" s="509">
        <f>FT!I20+'Forest Glen'!I34+NC!I20+TB!I20+WH!I20+'A-N Drive'!I29+VRE!I17</f>
        <v>288054.2113436134</v>
      </c>
      <c r="F118" s="509">
        <f>FT!J20+'Forest Glen'!J34+NC!J20+TB!J20+WH!J20+'A-N Drive'!J29+VRE!J17</f>
        <v>345265.33596103278</v>
      </c>
      <c r="G118" s="509">
        <f>FT!K20+'Forest Glen'!K34+NC!K20+TB!K20+WH!K20+'A-N Drive'!K29+VRE!K17</f>
        <v>368118.21607242385</v>
      </c>
      <c r="H118" s="509">
        <f>FT!L20+'Forest Glen'!L34+NC!L20+TB!L20+WH!L20+'A-N Drive'!L29+VRE!L17</f>
        <v>372162.32420863904</v>
      </c>
      <c r="I118" s="509">
        <f>FT!M20+'Forest Glen'!M34+NC!M20+TB!M20+WH!M20+'A-N Drive'!M29+VRE!M17</f>
        <v>376279.36447435932</v>
      </c>
      <c r="J118" s="509">
        <f>FT!N20+'Forest Glen'!N34+NC!N20+TB!N20+WH!N20+'A-N Drive'!N29+VRE!N17</f>
        <v>380472.89045198972</v>
      </c>
      <c r="K118" s="509">
        <f>FT!O20+'Forest Glen'!O34+NC!O20+TB!O20+WH!O20+'A-N Drive'!O29+VRE!O17</f>
        <v>383938.68631469388</v>
      </c>
      <c r="L118" s="509">
        <f>FT!P20+'Forest Glen'!P34+NC!P20+TB!P20+WH!P20+'A-N Drive'!P29+VRE!P17</f>
        <v>387444.12411488872</v>
      </c>
      <c r="M118" s="509">
        <f>FT!Q20+'Forest Glen'!Q34+NC!Q20+TB!Q20+WH!Q20+'A-N Drive'!Q29+VRE!Q17</f>
        <v>390992.10927669995</v>
      </c>
      <c r="N118" s="509">
        <f>FT!R20+'Forest Glen'!R34+NC!R20+TB!R20+WH!R20+'A-N Drive'!R29+VRE!R17</f>
        <v>394585.91032521048</v>
      </c>
      <c r="O118" s="509">
        <f>FT!S20+'Forest Glen'!S34+NC!S20+TB!S20+WH!S20+'A-N Drive'!S29+VRE!S17</f>
        <v>398229.20803092641</v>
      </c>
      <c r="P118" s="509">
        <f>FT!T20+'Forest Glen'!T34+NC!T20+TB!T20+WH!T20+'A-N Drive'!T29+VRE!T17</f>
        <v>401926.15126824717</v>
      </c>
      <c r="Q118" s="509">
        <f>FT!U20+'Forest Glen'!U34+NC!U20+TB!U20+WH!U20+'A-N Drive'!U29+VRE!U17</f>
        <v>405681.42050624924</v>
      </c>
      <c r="R118" s="509">
        <f>FT!V20+'Forest Glen'!V34+NC!V20+TB!V20+WH!V20+'A-N Drive'!V29+VRE!V17</f>
        <v>409500.29997571994</v>
      </c>
      <c r="S118" s="509">
        <f>FT!W20+'Forest Glen'!W34+NC!W20+TB!W20+WH!W20+'A-N Drive'!W29+VRE!W17</f>
        <v>413388.7596991813</v>
      </c>
      <c r="T118" s="509">
        <f>FT!X20+'Forest Glen'!X34+NC!X20+TB!X20+WH!X20+'A-N Drive'!X29+VRE!X17</f>
        <v>417353.54873298935</v>
      </c>
      <c r="U118" s="509">
        <f>FT!Y20+'Forest Glen'!Y34+NC!Y20+TB!Y20+WH!Y20+'A-N Drive'!Y29+VRE!Y17</f>
        <v>421402.30115514342</v>
      </c>
      <c r="V118" s="509">
        <f>FT!Z20+'Forest Glen'!Z34+NC!Z20+TB!Z20+WH!Z20+'A-N Drive'!Z29+VRE!Z17</f>
        <v>425543.65654224087</v>
      </c>
      <c r="W118" s="509">
        <f>FT!AA20+'Forest Glen'!AA34+NC!AA20+TB!AA20+WH!AA20+'A-N Drive'!AA29+VRE!AA17</f>
        <v>429787.39691750763</v>
      </c>
      <c r="X118" s="509">
        <f>FT!AB20+'Forest Glen'!AB34+NC!AB20+TB!AB20+WH!AB20+'A-N Drive'!AB29+VRE!AB17</f>
        <v>434144.60242296307</v>
      </c>
      <c r="Y118" s="509">
        <f>FT!AC20+'Forest Glen'!AC34+NC!AC20+TB!AC20+WH!AC20+'A-N Drive'!AC29+VRE!AC17</f>
        <v>438627.82827698952</v>
      </c>
    </row>
    <row r="119" spans="1:26" s="26" customFormat="1">
      <c r="A119" s="500" t="s">
        <v>506</v>
      </c>
      <c r="B119" s="509">
        <f>FT!F21+'Forest Glen'!F35+NC!F21+TB!F21+WH!F21+'A-N Drive'!F30+VRE!F18</f>
        <v>0</v>
      </c>
      <c r="C119" s="509">
        <f>FT!G21+'Forest Glen'!G35+NC!G21+TB!G21+WH!G21+'A-N Drive'!G30+VRE!G18</f>
        <v>-28011.373592406442</v>
      </c>
      <c r="D119" s="509">
        <f>FT!H21+'Forest Glen'!H35+NC!H21+TB!H21+WH!H21+'A-N Drive'!H30+VRE!H18</f>
        <v>-70954.075030217369</v>
      </c>
      <c r="E119" s="509">
        <f>FT!I21+'Forest Glen'!I35+NC!I21+TB!I21+WH!I21+'A-N Drive'!I30+VRE!I18</f>
        <v>-71723.541654662433</v>
      </c>
      <c r="F119" s="509">
        <f>FT!J21+'Forest Glen'!J35+NC!J21+TB!J21+WH!J21+'A-N Drive'!J30+VRE!J18</f>
        <v>-75875.210044658539</v>
      </c>
      <c r="G119" s="509">
        <f>FT!K21+'Forest Glen'!K35+NC!K21+TB!K21+WH!K21+'A-N Drive'!K30+VRE!K18</f>
        <v>-77892.839815583022</v>
      </c>
      <c r="H119" s="509">
        <f>FT!L21+'Forest Glen'!L35+NC!L21+TB!L21+WH!L21+'A-N Drive'!L30+VRE!L18</f>
        <v>-78731.980142335466</v>
      </c>
      <c r="I119" s="509">
        <f>FT!M21+'Forest Glen'!M35+NC!M21+TB!M21+WH!M21+'A-N Drive'!M30+VRE!M18</f>
        <v>-79580.948183521439</v>
      </c>
      <c r="J119" s="509">
        <f>FT!N21+'Forest Glen'!N35+NC!N21+TB!N21+WH!N21+'A-N Drive'!N30+VRE!N18</f>
        <v>-80440.668730189544</v>
      </c>
      <c r="K119" s="509">
        <f>FT!O21+'Forest Glen'!O35+NC!O21+TB!O21+WH!O21+'A-N Drive'!O30+VRE!O18</f>
        <v>-80992.788932084397</v>
      </c>
      <c r="L119" s="509">
        <f>FT!P21+'Forest Glen'!P35+NC!P21+TB!P21+WH!P21+'A-N Drive'!P30+VRE!P18</f>
        <v>-81557.894857325999</v>
      </c>
      <c r="M119" s="509">
        <f>FT!Q21+'Forest Glen'!Q35+NC!Q21+TB!Q21+WH!Q21+'A-N Drive'!Q30+VRE!Q18</f>
        <v>-82137.33059706194</v>
      </c>
      <c r="N119" s="509">
        <f>FT!R21+'Forest Glen'!R35+NC!R21+TB!R21+WH!R21+'A-N Drive'!R30+VRE!R18</f>
        <v>-82732.619790550772</v>
      </c>
      <c r="O119" s="509">
        <f>FT!S21+'Forest Glen'!S35+NC!S21+TB!S21+WH!S21+'A-N Drive'!S30+VRE!S18</f>
        <v>-83345.490144107898</v>
      </c>
      <c r="P119" s="509">
        <f>FT!T21+'Forest Glen'!T35+NC!T21+TB!T21+WH!T21+'A-N Drive'!T30+VRE!T18</f>
        <v>-83977.901303811203</v>
      </c>
      <c r="Q119" s="509">
        <f>FT!U21+'Forest Glen'!U35+NC!U21+TB!U21+WH!U21+'A-N Drive'!U30+VRE!U18</f>
        <v>-84632.076540755734</v>
      </c>
      <c r="R119" s="509">
        <f>FT!V21+'Forest Glen'!V35+NC!V21+TB!V21+WH!V21+'A-N Drive'!V30+VRE!V18</f>
        <v>-85310.538770410538</v>
      </c>
      <c r="S119" s="509">
        <f>FT!W21+'Forest Glen'!W35+NC!W21+TB!W21+WH!W21+'A-N Drive'!W30+VRE!W18</f>
        <v>-86016.151498977764</v>
      </c>
      <c r="T119" s="509">
        <f>FT!X21+'Forest Glen'!X35+NC!X21+TB!X21+WH!X21+'A-N Drive'!X30+VRE!X18</f>
        <v>-86752.165370764211</v>
      </c>
      <c r="U119" s="509">
        <f>FT!Y21+'Forest Glen'!Y35+NC!Y21+TB!Y21+WH!Y21+'A-N Drive'!Y30+VRE!Y18</f>
        <v>-87522.271082778112</v>
      </c>
      <c r="V119" s="509">
        <f>FT!Z21+'Forest Glen'!Z35+NC!Z21+TB!Z21+WH!Z21+'A-N Drive'!Z30+VRE!Z18</f>
        <v>-88330.659537584899</v>
      </c>
      <c r="W119" s="509">
        <f>FT!AA21+'Forest Glen'!AA35+NC!AA21+TB!AA21+WH!AA21+'A-N Drive'!AA30+VRE!AA18</f>
        <v>-89182.090224608924</v>
      </c>
      <c r="X119" s="509">
        <f>FT!AB21+'Forest Glen'!AB35+NC!AB21+TB!AB21+WH!AB21+'A-N Drive'!AB30+VRE!AB18</f>
        <v>-90081.968955529999</v>
      </c>
      <c r="Y119" s="509">
        <f>FT!AC21+'Forest Glen'!AC35+NC!AC21+TB!AC21+WH!AC21+'A-N Drive'!AC30+VRE!AC18</f>
        <v>-91036.436233408895</v>
      </c>
    </row>
    <row r="120" spans="1:26" s="26" customFormat="1">
      <c r="A120" s="500" t="s">
        <v>507</v>
      </c>
      <c r="B120" s="509">
        <f>FT!F22+'Forest Glen'!F36+NC!F22+TB!F22+WH!F22+'A-N Drive'!F31+VRE!F19</f>
        <v>0</v>
      </c>
      <c r="C120" s="509">
        <f>FT!G22+'Forest Glen'!G36+NC!G22+TB!G22+WH!G22+'A-N Drive'!G31+VRE!G19</f>
        <v>-79830.047913677292</v>
      </c>
      <c r="D120" s="509">
        <f>FT!H22+'Forest Glen'!H36+NC!H22+TB!H22+WH!H22+'A-N Drive'!H31+VRE!H19</f>
        <v>-177149.42788386845</v>
      </c>
      <c r="E120" s="509">
        <f>FT!I22+'Forest Glen'!I36+NC!I22+TB!I22+WH!I22+'A-N Drive'!I31+VRE!I19</f>
        <v>-178901.25272640184</v>
      </c>
      <c r="F120" s="509">
        <f>FT!J22+'Forest Glen'!J36+NC!J22+TB!J22+WH!J22+'A-N Drive'!J31+VRE!J19</f>
        <v>-214891.90882984109</v>
      </c>
      <c r="G120" s="509">
        <f>FT!K22+'Forest Glen'!K36+NC!K22+TB!K22+WH!K22+'A-N Drive'!K31+VRE!K19</f>
        <v>-229368.81780814796</v>
      </c>
      <c r="H120" s="509">
        <f>FT!L22+'Forest Glen'!L36+NC!L22+TB!L22+WH!L22+'A-N Drive'!L31+VRE!L19</f>
        <v>-232042.68991896766</v>
      </c>
      <c r="I120" s="509">
        <f>FT!M22+'Forest Glen'!M36+NC!M22+TB!M22+WH!M22+'A-N Drive'!M31+VRE!M19</f>
        <v>-234760.09189433273</v>
      </c>
      <c r="J120" s="509">
        <f>FT!N22+'Forest Glen'!N36+NC!N22+TB!N22+WH!N22+'A-N Drive'!N31+VRE!N19</f>
        <v>-237523.0012731028</v>
      </c>
      <c r="K120" s="509">
        <f>FT!O22+'Forest Glen'!O36+NC!O22+TB!O22+WH!O22+'A-N Drive'!O31+VRE!O19</f>
        <v>-239797.44879043582</v>
      </c>
      <c r="L120" s="509">
        <f>FT!P22+'Forest Glen'!P36+NC!P22+TB!P22+WH!P22+'A-N Drive'!P31+VRE!P19</f>
        <v>-242099.23578047261</v>
      </c>
      <c r="M120" s="509">
        <f>FT!Q22+'Forest Glen'!Q36+NC!Q22+TB!Q22+WH!Q22+'A-N Drive'!Q31+VRE!Q19</f>
        <v>-244430.0606324813</v>
      </c>
      <c r="N120" s="509">
        <f>FT!R22+'Forest Glen'!R36+NC!R22+TB!R22+WH!R22+'A-N Drive'!R31+VRE!R19</f>
        <v>-246791.82492302972</v>
      </c>
      <c r="O120" s="509">
        <f>FT!S22+'Forest Glen'!S36+NC!S22+TB!S22+WH!S22+'A-N Drive'!S31+VRE!S19</f>
        <v>-249186.66074554992</v>
      </c>
      <c r="P120" s="509">
        <f>FT!T22+'Forest Glen'!T36+NC!T22+TB!T22+WH!T22+'A-N Drive'!T31+VRE!T19</f>
        <v>-251616.96177042421</v>
      </c>
      <c r="Q120" s="509">
        <f>FT!U22+'Forest Glen'!U36+NC!U22+TB!U22+WH!U22+'A-N Drive'!U31+VRE!U19</f>
        <v>-254085.41854577558</v>
      </c>
      <c r="R120" s="509">
        <f>FT!V22+'Forest Glen'!V36+NC!V22+TB!V22+WH!V22+'A-N Drive'!V31+VRE!V19</f>
        <v>-256595.05861893701</v>
      </c>
      <c r="S120" s="509">
        <f>FT!W22+'Forest Glen'!W36+NC!W22+TB!W22+WH!W22+'A-N Drive'!W31+VRE!W19</f>
        <v>-259149.2921379105</v>
      </c>
      <c r="T120" s="509">
        <f>FT!X22+'Forest Glen'!X36+NC!X22+TB!X22+WH!X22+'A-N Drive'!X31+VRE!X19</f>
        <v>-261751.96368231816</v>
      </c>
      <c r="U120" s="509">
        <f>FT!Y22+'Forest Glen'!Y36+NC!Y22+TB!Y22+WH!Y22+'A-N Drive'!Y31+VRE!Y19</f>
        <v>-264407.41117587627</v>
      </c>
      <c r="V120" s="509">
        <f>FT!Z22+'Forest Glen'!Z36+NC!Z22+TB!Z22+WH!Z22+'A-N Drive'!Z31+VRE!Z19</f>
        <v>-267120.53284897772</v>
      </c>
      <c r="W120" s="509">
        <f>FT!AA22+'Forest Glen'!AA36+NC!AA22+TB!AA22+WH!AA22+'A-N Drive'!AA31+VRE!AA19</f>
        <v>-269896.86335246766</v>
      </c>
      <c r="X120" s="509">
        <f>FT!AB22+'Forest Glen'!AB36+NC!AB22+TB!AB22+WH!AB22+'A-N Drive'!AB31+VRE!AB19</f>
        <v>-272742.66027432278</v>
      </c>
      <c r="Y120" s="509">
        <f>FT!AC22+'Forest Glen'!AC36+NC!AC22+TB!AC22+WH!AC22+'A-N Drive'!AC31+VRE!AC19</f>
        <v>-275665.00248217402</v>
      </c>
    </row>
    <row r="121" spans="1:26" s="26" customFormat="1">
      <c r="A121" s="500" t="s">
        <v>508</v>
      </c>
      <c r="B121" s="509">
        <f>FT!F23+'Forest Glen'!F37+NC!F23+TB!F23+WH!F23+'A-N Drive'!F32+VRE!F20</f>
        <v>0</v>
      </c>
      <c r="C121" s="509">
        <f>FT!G23+'Forest Glen'!G37+NC!G23+TB!G23+WH!G23+'A-N Drive'!G32+VRE!G20</f>
        <v>-432937.8114389024</v>
      </c>
      <c r="D121" s="509">
        <f>FT!H23+'Forest Glen'!H37+NC!H23+TB!H23+WH!H23+'A-N Drive'!H32+VRE!H20</f>
        <v>-1126166.7062451448</v>
      </c>
      <c r="E121" s="509">
        <f>FT!I23+'Forest Glen'!I37+NC!I23+TB!I23+WH!I23+'A-N Drive'!I32+VRE!I20</f>
        <v>-1142836.6469716122</v>
      </c>
      <c r="F121" s="509">
        <f>FT!J23+'Forest Glen'!J37+NC!J23+TB!J23+WH!J23+'A-N Drive'!J32+VRE!J20</f>
        <v>-1350380.8341864673</v>
      </c>
      <c r="G121" s="509">
        <f>FT!K23+'Forest Glen'!K37+NC!K23+TB!K23+WH!K23+'A-N Drive'!K32+VRE!K20</f>
        <v>-1438378.8445633864</v>
      </c>
      <c r="H121" s="509">
        <f>FT!L23+'Forest Glen'!L37+NC!L23+TB!L23+WH!L23+'A-N Drive'!L32+VRE!L20</f>
        <v>-1460958.2064268191</v>
      </c>
      <c r="I121" s="509">
        <f>FT!M23+'Forest Glen'!M37+NC!M23+TB!M23+WH!M23+'A-N Drive'!M32+VRE!M20</f>
        <v>-1483937.7818983272</v>
      </c>
      <c r="J121" s="509">
        <f>FT!N23+'Forest Glen'!N37+NC!N23+TB!N23+WH!N23+'A-N Drive'!N32+VRE!N20</f>
        <v>-1507332.9032265265</v>
      </c>
      <c r="K121" s="509">
        <f>FT!O23+'Forest Glen'!O37+NC!O23+TB!O23+WH!O23+'A-N Drive'!O32+VRE!O20</f>
        <v>-1527675.2993294536</v>
      </c>
      <c r="L121" s="509">
        <f>FT!P23+'Forest Glen'!P37+NC!P23+TB!P23+WH!P23+'A-N Drive'!P32+VRE!P20</f>
        <v>-1548320.2599431723</v>
      </c>
      <c r="M121" s="509">
        <f>FT!Q23+'Forest Glen'!Q37+NC!Q23+TB!Q23+WH!Q23+'A-N Drive'!Q32+VRE!Q20</f>
        <v>-1569281.458638625</v>
      </c>
      <c r="N121" s="509">
        <f>FT!R23+'Forest Glen'!R37+NC!R23+TB!R23+WH!R23+'A-N Drive'!R32+VRE!R20</f>
        <v>-1590573.9437538341</v>
      </c>
      <c r="O121" s="509">
        <f>FT!S23+'Forest Glen'!S37+NC!S23+TB!S23+WH!S23+'A-N Drive'!S32+VRE!S20</f>
        <v>-1612214.3171307531</v>
      </c>
      <c r="P121" s="509">
        <f>FT!T23+'Forest Glen'!T37+NC!T23+TB!T23+WH!T23+'A-N Drive'!T32+VRE!T20</f>
        <v>-1634220.9371225389</v>
      </c>
      <c r="Q121" s="509">
        <f>FT!U23+'Forest Glen'!U37+NC!U23+TB!U23+WH!U23+'A-N Drive'!U32+VRE!U20</f>
        <v>-1656614.1491878722</v>
      </c>
      <c r="R121" s="509">
        <f>FT!V23+'Forest Glen'!V37+NC!V23+TB!V23+WH!V23+'A-N Drive'!V32+VRE!V20</f>
        <v>-1679416.5478426139</v>
      </c>
      <c r="S121" s="509">
        <f>FT!W23+'Forest Glen'!W37+NC!W23+TB!W23+WH!W23+'A-N Drive'!W32+VRE!W20</f>
        <v>-1702653.2742547824</v>
      </c>
      <c r="T121" s="509">
        <f>FT!X23+'Forest Glen'!X37+NC!X23+TB!X23+WH!X23+'A-N Drive'!X32+VRE!X20</f>
        <v>-1726352.354355074</v>
      </c>
      <c r="U121" s="509">
        <f>FT!Y23+'Forest Glen'!Y37+NC!Y23+TB!Y23+WH!Y23+'A-N Drive'!Y32+VRE!Y20</f>
        <v>-1750545.0830016211</v>
      </c>
      <c r="V121" s="509">
        <f>FT!Z23+'Forest Glen'!Z37+NC!Z23+TB!Z23+WH!Z23+'A-N Drive'!Z32+VRE!Z20</f>
        <v>-1775266.4604952685</v>
      </c>
      <c r="W121" s="509">
        <f>FT!AA23+'Forest Glen'!AA37+NC!AA23+TB!AA23+WH!AA23+'A-N Drive'!AA32+VRE!AA20</f>
        <v>-1800555.6886029236</v>
      </c>
      <c r="X121" s="509">
        <f>FT!AB23+'Forest Glen'!AB37+NC!AB23+TB!AB23+WH!AB23+'A-N Drive'!AB32+VRE!AB20</f>
        <v>-1826456.734225607</v>
      </c>
      <c r="Y121" s="509">
        <f>FT!AC23+'Forest Glen'!AC37+NC!AC23+TB!AC23+WH!AC23+'A-N Drive'!AC32+VRE!AC20</f>
        <v>-1853018.9699608213</v>
      </c>
    </row>
    <row r="122" spans="1:26" s="26" customFormat="1">
      <c r="A122" s="500" t="s">
        <v>509</v>
      </c>
      <c r="B122" s="510">
        <f>FT!F24+'Forest Glen'!F38+NC!F24+TB!F24+WH!F24+'A-N Drive'!F33+VRE!F21</f>
        <v>0</v>
      </c>
      <c r="C122" s="510">
        <f>FT!G24+'Forest Glen'!G38+NC!G24+TB!G24+WH!G24+'A-N Drive'!G33+VRE!G21</f>
        <v>76293.554800276674</v>
      </c>
      <c r="D122" s="510">
        <f>FT!H24+'Forest Glen'!H38+NC!H24+TB!H24+WH!H24+'A-N Drive'!H33+VRE!H21</f>
        <v>193668.16123617991</v>
      </c>
      <c r="E122" s="510">
        <f>FT!I24+'Forest Glen'!I38+NC!I24+TB!I24+WH!I24+'A-N Drive'!I33+VRE!I21</f>
        <v>192184.24857769688</v>
      </c>
      <c r="F122" s="510">
        <f>FT!J24+'Forest Glen'!J38+NC!J24+TB!J24+WH!J24+'A-N Drive'!J33+VRE!J21</f>
        <v>221561.70106112512</v>
      </c>
      <c r="G122" s="510">
        <f>FT!K24+'Forest Glen'!K38+NC!K24+TB!K24+WH!K24+'A-N Drive'!K33+VRE!K21</f>
        <v>230837.65992218669</v>
      </c>
      <c r="H122" s="510">
        <f>FT!L24+'Forest Glen'!L38+NC!L24+TB!L24+WH!L24+'A-N Drive'!L33+VRE!L21</f>
        <v>229612.76083866009</v>
      </c>
      <c r="I122" s="510">
        <f>FT!M24+'Forest Glen'!M38+NC!M24+TB!M24+WH!M24+'A-N Drive'!M33+VRE!M21</f>
        <v>228499.2325799739</v>
      </c>
      <c r="J122" s="510">
        <f>FT!N24+'Forest Glen'!N38+NC!N24+TB!N24+WH!N24+'A-N Drive'!N33+VRE!N21</f>
        <v>228679.87281566468</v>
      </c>
      <c r="K122" s="510">
        <f>FT!O24+'Forest Glen'!O38+NC!O24+TB!O24+WH!O24+'A-N Drive'!O33+VRE!O21</f>
        <v>231642.88924313898</v>
      </c>
      <c r="L122" s="510">
        <f>FT!P24+'Forest Glen'!P38+NC!P24+TB!P24+WH!P24+'A-N Drive'!P33+VRE!P21</f>
        <v>234648.614367637</v>
      </c>
      <c r="M122" s="510">
        <f>FT!Q24+'Forest Glen'!Q38+NC!Q24+TB!Q24+WH!Q24+'A-N Drive'!Q33+VRE!Q21</f>
        <v>237699.05157084737</v>
      </c>
      <c r="N122" s="510">
        <f>FT!R24+'Forest Glen'!R38+NC!R24+TB!R24+WH!R24+'A-N Drive'!R33+VRE!R21</f>
        <v>240796.40814936129</v>
      </c>
      <c r="O122" s="510">
        <f>FT!S24+'Forest Glen'!S38+NC!S24+TB!S24+WH!S24+'A-N Drive'!S33+VRE!S21</f>
        <v>243943.12182452765</v>
      </c>
      <c r="P122" s="510">
        <f>FT!T24+'Forest Glen'!T38+NC!T24+TB!T24+WH!T24+'A-N Drive'!T33+VRE!T21</f>
        <v>247141.89083926714</v>
      </c>
      <c r="Q122" s="510">
        <f>FT!U24+'Forest Glen'!U38+NC!U24+TB!U24+WH!U24+'A-N Drive'!U33+VRE!U21</f>
        <v>250395.70812997757</v>
      </c>
      <c r="R122" s="510">
        <f>FT!V24+'Forest Glen'!V38+NC!V24+TB!V24+WH!V24+'A-N Drive'!V33+VRE!V21</f>
        <v>253707.90012814346</v>
      </c>
      <c r="S122" s="510">
        <f>FT!W24+'Forest Glen'!W38+NC!W24+TB!W24+WH!W24+'A-N Drive'!W33+VRE!W21</f>
        <v>257082.17082180272</v>
      </c>
      <c r="T122" s="510">
        <f>FT!X24+'Forest Glen'!X38+NC!X24+TB!X24+WH!X24+'A-N Drive'!X33+VRE!X21</f>
        <v>260522.65179285046</v>
      </c>
      <c r="U122" s="510">
        <f>FT!Y24+'Forest Glen'!Y38+NC!Y24+TB!Y24+WH!Y24+'A-N Drive'!Y33+VRE!Y21</f>
        <v>264033.95904367988</v>
      </c>
      <c r="V122" s="510">
        <f>FT!Z24+'Forest Glen'!Z38+NC!Z24+TB!Z24+WH!Z24+'A-N Drive'!Z33+VRE!Z21</f>
        <v>267621.25753746124</v>
      </c>
      <c r="W122" s="510">
        <f>FT!AA24+'Forest Glen'!AA38+NC!AA24+TB!AA24+WH!AA24+'A-N Drive'!AA33+VRE!AA21</f>
        <v>271290.33450226026</v>
      </c>
      <c r="X122" s="510">
        <f>FT!AB24+'Forest Glen'!AB38+NC!AB24+TB!AB24+WH!AB24+'A-N Drive'!AB33+VRE!AB21</f>
        <v>275047.68269223883</v>
      </c>
      <c r="Y122" s="510">
        <f>FT!AC24+'Forest Glen'!AC38+NC!AC24+TB!AC24+WH!AC24+'A-N Drive'!AC33+VRE!AC21</f>
        <v>278900.59496171516</v>
      </c>
    </row>
    <row r="123" spans="1:26" s="26" customFormat="1">
      <c r="A123" s="507" t="s">
        <v>636</v>
      </c>
      <c r="B123" s="508"/>
      <c r="C123" s="508"/>
      <c r="D123" s="508"/>
      <c r="E123" s="508"/>
      <c r="F123" s="508"/>
      <c r="G123" s="508"/>
      <c r="H123" s="508"/>
      <c r="I123" s="508"/>
      <c r="J123" s="508"/>
      <c r="K123" s="508"/>
      <c r="L123" s="508"/>
      <c r="M123" s="508"/>
      <c r="N123" s="508"/>
      <c r="O123" s="508"/>
      <c r="P123" s="508"/>
      <c r="Q123" s="508"/>
      <c r="R123" s="508"/>
      <c r="S123" s="508"/>
      <c r="T123" s="508"/>
      <c r="U123" s="508"/>
      <c r="V123" s="508"/>
      <c r="W123" s="508"/>
      <c r="X123" s="508"/>
      <c r="Y123" s="508"/>
    </row>
    <row r="124" spans="1:26">
      <c r="A124" s="497" t="s">
        <v>367</v>
      </c>
      <c r="B124" s="34">
        <f>FT!F151+FT!F153+FT!F157+FT!F159+'Forest Glen'!F248+'Forest Glen'!F250+'Forest Glen'!F253+'Forest Glen'!F255+NC!F150+NC!F152+NC!F156+NC!F158+TB!F150+TB!F152+TB!F156+TB!F158+WH!F144+WH!F146+WH!F150+WH!F152+'A-N Drive'!F212+'A-N Drive'!F214+'A-N Drive'!F218+'A-N Drive'!F220</f>
        <v>0</v>
      </c>
      <c r="C124">
        <f>FT!G151+FT!G153+FT!G157+FT!G159+'Forest Glen'!G248+'Forest Glen'!G250+'Forest Glen'!G253+'Forest Glen'!G255+NC!G150+NC!G152+NC!G156+NC!G158+TB!G150+TB!G152+TB!G156+TB!G158+WH!G144+WH!G146+WH!G150+WH!G152+'A-N Drive'!G212+'A-N Drive'!G214+'A-N Drive'!G218+'A-N Drive'!G220</f>
        <v>-0.4026598272419864</v>
      </c>
      <c r="D124">
        <f>FT!H151+FT!H153+FT!H157+FT!H159+'Forest Glen'!H248+'Forest Glen'!H250+'Forest Glen'!H253+'Forest Glen'!H255+NC!H150+NC!H152+NC!H156+NC!H158+TB!H150+TB!H152+TB!H156+TB!H158+WH!H144+WH!H146+WH!H150+WH!H152+'A-N Drive'!H212+'A-N Drive'!H214+'A-N Drive'!H218+'A-N Drive'!H220</f>
        <v>-2.6098074793574746</v>
      </c>
      <c r="E124">
        <f>FT!I151+FT!I153+FT!I157+FT!I159+'Forest Glen'!I248+'Forest Glen'!I250+'Forest Glen'!I253+'Forest Glen'!I255+NC!I150+NC!I152+NC!I156+NC!I158+TB!I150+TB!I152+TB!I156+TB!I158+WH!I144+WH!I146+WH!I150+WH!I152+'A-N Drive'!I212+'A-N Drive'!I214+'A-N Drive'!I218+'A-N Drive'!I220</f>
        <v>-2.6057791571781372</v>
      </c>
      <c r="F124">
        <f>FT!J151+FT!J153+FT!J157+FT!J159+'Forest Glen'!J248+'Forest Glen'!J250+'Forest Glen'!J253+'Forest Glen'!J255+NC!J150+NC!J152+NC!J156+NC!J158+TB!J150+TB!J152+TB!J156+TB!J158+WH!J144+WH!J146+WH!J150+WH!J152+'A-N Drive'!J212+'A-N Drive'!J214+'A-N Drive'!J218+'A-N Drive'!J220</f>
        <v>-3.225508607208865</v>
      </c>
      <c r="G124">
        <f>FT!K151+FT!K153+FT!K157+FT!K159+'Forest Glen'!K248+'Forest Glen'!K250+'Forest Glen'!K253+'Forest Glen'!K255+NC!K150+NC!K152+NC!K156+NC!K158+TB!K150+TB!K152+TB!K156+TB!K158+WH!K144+WH!K146+WH!K150+WH!K152+'A-N Drive'!K212+'A-N Drive'!K214+'A-N Drive'!K218+'A-N Drive'!K220</f>
        <v>-3.4598994893169523</v>
      </c>
      <c r="H124">
        <f>FT!L151+FT!L153+FT!L157+FT!L159+'Forest Glen'!L248+'Forest Glen'!L250+'Forest Glen'!L253+'Forest Glen'!L255+NC!L150+NC!L152+NC!L156+NC!L158+TB!L150+TB!L152+TB!L156+TB!L158+WH!L144+WH!L146+WH!L150+WH!L152+'A-N Drive'!L212+'A-N Drive'!L214+'A-N Drive'!L218+'A-N Drive'!L220</f>
        <v>-3.4869973758911952</v>
      </c>
      <c r="I124">
        <f>FT!M151+FT!M153+FT!M157+FT!M159+'Forest Glen'!M248+'Forest Glen'!M250+'Forest Glen'!M253+'Forest Glen'!M255+NC!M150+NC!M152+NC!M156+NC!M158+TB!M150+TB!M152+TB!M156+TB!M158+WH!M144+WH!M146+WH!M150+WH!M152+'A-N Drive'!M212+'A-N Drive'!M214+'A-N Drive'!M218+'A-N Drive'!M220</f>
        <v>-3.5152483954388014</v>
      </c>
      <c r="J124">
        <f>FT!N151+FT!N153+FT!N157+FT!N159+'Forest Glen'!N248+'Forest Glen'!N250+'Forest Glen'!N253+'Forest Glen'!N255+NC!N150+NC!N152+NC!N156+NC!N158+TB!N150+TB!N152+TB!N156+TB!N158+WH!N144+WH!N146+WH!N150+WH!N152+'A-N Drive'!N212+'A-N Drive'!N214+'A-N Drive'!N218+'A-N Drive'!N220</f>
        <v>-3.5446952354183683</v>
      </c>
      <c r="K124">
        <f>FT!O151+FT!O153+FT!O157+FT!O159+'Forest Glen'!O248+'Forest Glen'!O250+'Forest Glen'!O253+'Forest Glen'!O255+NC!O150+NC!O152+NC!O156+NC!O158+TB!O150+TB!O152+TB!O156+TB!O158+WH!O144+WH!O146+WH!O150+WH!O152+'A-N Drive'!O212+'A-N Drive'!O214+'A-N Drive'!O218+'A-N Drive'!O220</f>
        <v>-3.5731693448042141</v>
      </c>
      <c r="L124">
        <f>FT!P151+FT!P153+FT!P157+FT!P159+'Forest Glen'!P248+'Forest Glen'!P250+'Forest Glen'!P253+'Forest Glen'!P255+NC!P150+NC!P152+NC!P156+NC!P158+TB!P150+TB!P152+TB!P156+TB!P158+WH!P144+WH!P146+WH!P150+WH!P152+'A-N Drive'!P212+'A-N Drive'!P214+'A-N Drive'!P218+'A-N Drive'!P220</f>
        <v>-3.6016527461666561</v>
      </c>
      <c r="M124">
        <f>FT!Q151+FT!Q153+FT!Q157+FT!Q159+'Forest Glen'!Q248+'Forest Glen'!Q250+'Forest Glen'!Q253+'Forest Glen'!Q255+NC!Q150+NC!Q152+NC!Q156+NC!Q158+TB!Q150+TB!Q152+TB!Q156+TB!Q158+WH!Q144+WH!Q146+WH!Q150+WH!Q152+'A-N Drive'!Q212+'A-N Drive'!Q214+'A-N Drive'!Q218+'A-N Drive'!Q220</f>
        <v>-3.6301455277503711</v>
      </c>
      <c r="N124">
        <f>FT!R151+FT!R153+FT!R157+FT!R159+'Forest Glen'!R248+'Forest Glen'!R250+'Forest Glen'!R253+'Forest Glen'!R255+NC!R150+NC!R152+NC!R156+NC!R158+TB!R150+TB!R152+TB!R156+TB!R158+WH!R144+WH!R146+WH!R150+WH!R152+'A-N Drive'!R212+'A-N Drive'!R214+'A-N Drive'!R218+'A-N Drive'!R220</f>
        <v>-3.6586477786790246</v>
      </c>
      <c r="O124">
        <f>FT!S151+FT!S153+FT!S157+FT!S159+'Forest Glen'!S248+'Forest Glen'!S250+'Forest Glen'!S253+'Forest Glen'!S255+NC!S150+NC!S152+NC!S156+NC!S158+TB!S150+TB!S152+TB!S156+TB!S158+WH!S144+WH!S146+WH!S150+WH!S152+'A-N Drive'!S212+'A-N Drive'!S214+'A-N Drive'!S218+'A-N Drive'!S220</f>
        <v>-3.6871595889640583</v>
      </c>
      <c r="P124">
        <f>FT!T151+FT!T153+FT!T157+FT!T159+'Forest Glen'!T248+'Forest Glen'!T250+'Forest Glen'!T253+'Forest Glen'!T255+NC!T150+NC!T152+NC!T156+NC!T158+TB!T150+TB!T152+TB!T156+TB!T158+WH!T144+WH!T146+WH!T150+WH!T152+'A-N Drive'!T212+'A-N Drive'!T214+'A-N Drive'!T218+'A-N Drive'!T220</f>
        <v>-3.7156810495135622</v>
      </c>
      <c r="Q124">
        <f>FT!U151+FT!U153+FT!U157+FT!U159+'Forest Glen'!U248+'Forest Glen'!U250+'Forest Glen'!U253+'Forest Glen'!U255+NC!U150+NC!U152+NC!U156+NC!U158+TB!U150+TB!U152+TB!U156+TB!U158+WH!U144+WH!U146+WH!U150+WH!U152+'A-N Drive'!U212+'A-N Drive'!U214+'A-N Drive'!U218+'A-N Drive'!U220</f>
        <v>-3.7442122521412418</v>
      </c>
      <c r="R124">
        <f>FT!V151+FT!V153+FT!V157+FT!V159+'Forest Glen'!V248+'Forest Glen'!V250+'Forest Glen'!V253+'Forest Glen'!V255+NC!V150+NC!V152+NC!V156+NC!V158+TB!V150+TB!V152+TB!V156+TB!V158+WH!V144+WH!V146+WH!V150+WH!V152+'A-N Drive'!V212+'A-N Drive'!V214+'A-N Drive'!V218+'A-N Drive'!V220</f>
        <v>-3.7727532895754661</v>
      </c>
      <c r="S124">
        <f>FT!W151+FT!W153+FT!W157+FT!W159+'Forest Glen'!W248+'Forest Glen'!W250+'Forest Glen'!W253+'Forest Glen'!W255+NC!W150+NC!W152+NC!W156+NC!W158+TB!W150+TB!W152+TB!W156+TB!W158+WH!W144+WH!W146+WH!W150+WH!W152+'A-N Drive'!W212+'A-N Drive'!W214+'A-N Drive'!W218+'A-N Drive'!W220</f>
        <v>-3.8013042554684184</v>
      </c>
      <c r="T124">
        <f>FT!X151+FT!X153+FT!X157+FT!X159+'Forest Glen'!X248+'Forest Glen'!X250+'Forest Glen'!X253+'Forest Glen'!X255+NC!X150+NC!X152+NC!X156+NC!X158+TB!X150+TB!X152+TB!X156+TB!X158+WH!X144+WH!X146+WH!X150+WH!X152+'A-N Drive'!X212+'A-N Drive'!X214+'A-N Drive'!X218+'A-N Drive'!X220</f>
        <v>-3.8298652444053278</v>
      </c>
      <c r="U124">
        <f>FT!Y151+FT!Y153+FT!Y157+FT!Y159+'Forest Glen'!Y248+'Forest Glen'!Y250+'Forest Glen'!Y253+'Forest Glen'!Y255+NC!Y150+NC!Y152+NC!Y156+NC!Y158+TB!Y150+TB!Y152+TB!Y156+TB!Y158+WH!Y144+WH!Y146+WH!Y150+WH!Y152+'A-N Drive'!Y212+'A-N Drive'!Y214+'A-N Drive'!Y218+'A-N Drive'!Y220</f>
        <v>-3.8584363519137996</v>
      </c>
      <c r="V124">
        <f>FT!Z151+FT!Z153+FT!Z157+FT!Z159+'Forest Glen'!Z248+'Forest Glen'!Z250+'Forest Glen'!Z253+'Forest Glen'!Z255+NC!Z150+NC!Z152+NC!Z156+NC!Z158+TB!Z150+TB!Z152+TB!Z156+TB!Z158+WH!Z144+WH!Z146+WH!Z150+WH!Z152+'A-N Drive'!Z212+'A-N Drive'!Z214+'A-N Drive'!Z218+'A-N Drive'!Z220</f>
        <v>-3.887017674473233</v>
      </c>
      <c r="W124">
        <f>FT!AA151+FT!AA153+FT!AA157+FT!AA159+'Forest Glen'!AA248+'Forest Glen'!AA250+'Forest Glen'!AA253+'Forest Glen'!AA255+NC!AA150+NC!AA152+NC!AA156+NC!AA158+TB!AA150+TB!AA152+TB!AA156+TB!AA158+WH!AA144+WH!AA146+WH!AA150+WH!AA152+'A-N Drive'!AA212+'A-N Drive'!AA214+'A-N Drive'!AA218+'A-N Drive'!AA220</f>
        <v>-3.9156093095243385</v>
      </c>
      <c r="X124">
        <f>FT!AB151+FT!AB153+FT!AB157+FT!AB159+'Forest Glen'!AB248+'Forest Glen'!AB250+'Forest Glen'!AB253+'Forest Glen'!AB255+NC!AB150+NC!AB152+NC!AB156+NC!AB158+TB!AB150+TB!AB152+TB!AB156+TB!AB158+WH!AB144+WH!AB146+WH!AB150+WH!AB152+'A-N Drive'!AB212+'A-N Drive'!AB214+'A-N Drive'!AB218+'A-N Drive'!AB220</f>
        <v>-3.9442113554787532</v>
      </c>
      <c r="Y124">
        <f>FT!AC151+FT!AC153+FT!AC157+FT!AC159+'Forest Glen'!AC248+'Forest Glen'!AC250+'Forest Glen'!AC253+'Forest Glen'!AC255+NC!AC150+NC!AC152+NC!AC156+NC!AC158+TB!AC150+TB!AC152+TB!AC156+TB!AC158+WH!AC144+WH!AC146+WH!AC150+WH!AC152+'A-N Drive'!AC212+'A-N Drive'!AC214+'A-N Drive'!AC218+'A-N Drive'!AC220</f>
        <v>-3.9728239117287334</v>
      </c>
      <c r="Z124" s="538">
        <f>SUM(B124:Y124)</f>
        <v>-79.443285247638997</v>
      </c>
    </row>
    <row r="125" spans="1:26">
      <c r="A125" s="497" t="s">
        <v>277</v>
      </c>
      <c r="B125">
        <f>FT!F164+FT!F166+FT!F170+FT!F172+'Forest Glen'!F259+'Forest Glen'!F261+NC!F163+NC!F165+NC!F169+NC!F171+TB!F163+TB!F165+TB!F169+TB!F171+WH!F157+WH!F159+WH!F163+WH!F165+'A-N Drive'!F225+'A-N Drive'!F227+'A-N Drive'!F231+'A-N Drive'!F233+VRE!F103+VRE!F105+VRE!F109+VRE!F111</f>
        <v>0</v>
      </c>
      <c r="C125">
        <f>FT!G164+FT!G166+FT!G170+FT!G172+'Forest Glen'!G259+'Forest Glen'!G261+NC!G163+NC!G165+NC!G169+NC!G171+TB!G163+TB!G165+TB!G169+TB!G171+WH!G157+WH!G159+WH!G163+WH!G165+'A-N Drive'!G225+'A-N Drive'!G227+'A-N Drive'!G231+'A-N Drive'!G233+VRE!G103+VRE!G105+VRE!G109+VRE!G111</f>
        <v>0.68755026984930701</v>
      </c>
      <c r="D125">
        <f>FT!H164+FT!H166+FT!H170+FT!H172+'Forest Glen'!H259+'Forest Glen'!H261+NC!H163+NC!H165+NC!H169+NC!H171+TB!H163+TB!H165+TB!H169+TB!H171+WH!H157+WH!H159+WH!H163+WH!H165+'A-N Drive'!H225+'A-N Drive'!H227+'A-N Drive'!H231+'A-N Drive'!H233+VRE!H103+VRE!H105+VRE!H109+VRE!H111</f>
        <v>0.51921970483362045</v>
      </c>
      <c r="E125">
        <f>FT!I164+FT!I166+FT!I170+FT!I172+'Forest Glen'!I259+'Forest Glen'!I261+NC!I163+NC!I165+NC!I169+NC!I171+TB!I163+TB!I165+TB!I169+TB!I171+WH!I157+WH!I159+WH!I163+WH!I165+'A-N Drive'!I225+'A-N Drive'!I227+'A-N Drive'!I231+'A-N Drive'!I233+VRE!I103+VRE!I105+VRE!I109+VRE!I111</f>
        <v>0.52925505896780811</v>
      </c>
      <c r="F125">
        <f>FT!J164+FT!J166+FT!J170+FT!J172+'Forest Glen'!J259+'Forest Glen'!J261+NC!J163+NC!J165+NC!J169+NC!J171+TB!J163+TB!J165+TB!J169+TB!J171+WH!J157+WH!J159+WH!J163+WH!J165+'A-N Drive'!J225+'A-N Drive'!J227+'A-N Drive'!J231+'A-N Drive'!J233+VRE!J103+VRE!J105+VRE!J109+VRE!J111</f>
        <v>1.115063232536367</v>
      </c>
      <c r="G125">
        <f>FT!K164+FT!K166+FT!K170+FT!K172+'Forest Glen'!K259+'Forest Glen'!K261+NC!K163+NC!K165+NC!K169+NC!K171+TB!K163+TB!K165+TB!K169+TB!K171+WH!K157+WH!K159+WH!K163+WH!K165+'A-N Drive'!K225+'A-N Drive'!K227+'A-N Drive'!K231+'A-N Drive'!K233+VRE!K103+VRE!K105+VRE!K109+VRE!K111</f>
        <v>1.3355483596776916</v>
      </c>
      <c r="H125">
        <f>FT!L164+FT!L166+FT!L170+FT!L172+'Forest Glen'!L259+'Forest Glen'!L261+NC!L163+NC!L165+NC!L169+NC!L171+TB!L163+TB!L165+TB!L169+TB!L171+WH!L157+WH!L159+WH!L163+WH!L165+'A-N Drive'!L225+'A-N Drive'!L227+'A-N Drive'!L231+'A-N Drive'!L233+VRE!L103+VRE!L105+VRE!L109+VRE!L111</f>
        <v>1.3535920451220134</v>
      </c>
      <c r="I125">
        <f>FT!M164+FT!M166+FT!M170+FT!M172+'Forest Glen'!M259+'Forest Glen'!M261+NC!M163+NC!M165+NC!M169+NC!M171+TB!M163+TB!M165+TB!M169+TB!M171+WH!M157+WH!M159+WH!M163+WH!M165+'A-N Drive'!M225+'A-N Drive'!M227+'A-N Drive'!M231+'A-N Drive'!M233+VRE!M103+VRE!M105+VRE!M109+VRE!M111</f>
        <v>1.3716932204897985</v>
      </c>
      <c r="J125">
        <f>FT!N164+FT!N166+FT!N170+FT!N172+'Forest Glen'!N259+'Forest Glen'!N261+NC!N163+NC!N165+NC!N169+NC!N171+TB!N163+TB!N165+TB!N169+TB!N171+WH!N157+WH!N159+WH!N163+WH!N165+'A-N Drive'!N225+'A-N Drive'!N227+'A-N Drive'!N231+'A-N Drive'!N233+VRE!N103+VRE!N105+VRE!N109+VRE!N111</f>
        <v>1.3898323058607491</v>
      </c>
      <c r="K125">
        <f>FT!O164+FT!O166+FT!O170+FT!O172+'Forest Glen'!O259+'Forest Glen'!O261+NC!O163+NC!O165+NC!O169+NC!O171+TB!O163+TB!O165+TB!O169+TB!O171+WH!O157+WH!O159+WH!O163+WH!O165+'A-N Drive'!O225+'A-N Drive'!O227+'A-N Drive'!O231+'A-N Drive'!O233+VRE!O103+VRE!O105+VRE!O109+VRE!O111</f>
        <v>1.4043280416002497</v>
      </c>
      <c r="L125">
        <f>FT!P164+FT!P166+FT!P170+FT!P172+'Forest Glen'!P259+'Forest Glen'!P261+NC!P163+NC!P165+NC!P169+NC!P171+TB!P163+TB!P165+TB!P169+TB!P171+WH!P157+WH!P159+WH!P163+WH!P165+'A-N Drive'!P225+'A-N Drive'!P227+'A-N Drive'!P231+'A-N Drive'!P233+VRE!P103+VRE!P105+VRE!P109+VRE!P111</f>
        <v>1.4188055766069356</v>
      </c>
      <c r="M125">
        <f>FT!Q164+FT!Q166+FT!Q170+FT!Q172+'Forest Glen'!Q259+'Forest Glen'!Q261+NC!Q163+NC!Q165+NC!Q169+NC!Q171+TB!Q163+TB!Q165+TB!Q169+TB!Q171+WH!Q157+WH!Q159+WH!Q163+WH!Q165+'A-N Drive'!Q225+'A-N Drive'!Q227+'A-N Drive'!Q231+'A-N Drive'!Q233+VRE!Q103+VRE!Q105+VRE!Q109+VRE!Q111</f>
        <v>1.4332345842388792</v>
      </c>
      <c r="N125">
        <f>FT!R164+FT!R166+FT!R170+FT!R172+'Forest Glen'!R259+'Forest Glen'!R261+NC!R163+NC!R165+NC!R169+NC!R171+TB!R163+TB!R165+TB!R169+TB!R171+WH!R157+WH!R159+WH!R163+WH!R165+'A-N Drive'!R225+'A-N Drive'!R227+'A-N Drive'!R231+'A-N Drive'!R233+VRE!R103+VRE!R105+VRE!R109+VRE!R111</f>
        <v>1.4475802286309096</v>
      </c>
      <c r="O125">
        <f>FT!S164+FT!S166+FT!S170+FT!S172+'Forest Glen'!S259+'Forest Glen'!S261+NC!S163+NC!S165+NC!S169+NC!S171+TB!S163+TB!S165+TB!S169+TB!S171+WH!S157+WH!S159+WH!S163+WH!S165+'A-N Drive'!S225+'A-N Drive'!S227+'A-N Drive'!S231+'A-N Drive'!S233+VRE!S103+VRE!S105+VRE!S109+VRE!S111</f>
        <v>1.4618025425839982</v>
      </c>
      <c r="P125">
        <f>FT!T164+FT!T166+FT!T170+FT!T172+'Forest Glen'!T259+'Forest Glen'!T261+NC!T163+NC!T165+NC!T169+NC!T171+TB!T163+TB!T165+TB!T169+TB!T171+WH!T157+WH!T159+WH!T163+WH!T165+'A-N Drive'!T225+'A-N Drive'!T227+'A-N Drive'!T231+'A-N Drive'!T233+VRE!T103+VRE!T105+VRE!T109+VRE!T111</f>
        <v>1.4758557202645484</v>
      </c>
      <c r="Q125">
        <f>FT!U164+FT!U166+FT!U170+FT!U172+'Forest Glen'!U259+'Forest Glen'!U261+NC!U163+NC!U165+NC!U169+NC!U171+TB!U163+TB!U165+TB!U169+TB!U171+WH!U157+WH!U159+WH!U163+WH!U165+'A-N Drive'!U225+'A-N Drive'!U227+'A-N Drive'!U231+'A-N Drive'!U233+VRE!U103+VRE!U105+VRE!U109+VRE!U111</f>
        <v>1.4896873130580981</v>
      </c>
      <c r="R125">
        <f>FT!V164+FT!V166+FT!V170+FT!V172+'Forest Glen'!V259+'Forest Glen'!V261+NC!V163+NC!V165+NC!V169+NC!V171+TB!V163+TB!V165+TB!V169+TB!V171+WH!V157+WH!V159+WH!V163+WH!V165+'A-N Drive'!V225+'A-N Drive'!V227+'A-N Drive'!V231+'A-N Drive'!V233+VRE!V103+VRE!V105+VRE!V109+VRE!V111</f>
        <v>1.5032373153273737</v>
      </c>
      <c r="S125">
        <f>FT!W164+FT!W166+FT!W170+FT!W172+'Forest Glen'!W259+'Forest Glen'!W261+NC!W163+NC!W165+NC!W169+NC!W171+TB!W163+TB!W165+TB!W169+TB!W171+WH!W157+WH!W159+WH!W163+WH!W165+'A-N Drive'!W225+'A-N Drive'!W227+'A-N Drive'!W231+'A-N Drive'!W233+VRE!W103+VRE!W105+VRE!W109+VRE!W111</f>
        <v>1.516437125012092</v>
      </c>
      <c r="T125">
        <f>FT!X164+FT!X166+FT!X170+FT!X172+'Forest Glen'!X259+'Forest Glen'!X261+NC!X163+NC!X165+NC!X169+NC!X171+TB!X163+TB!X165+TB!X169+TB!X171+WH!X157+WH!X159+WH!X163+WH!X165+'A-N Drive'!X225+'A-N Drive'!X227+'A-N Drive'!X231+'A-N Drive'!X233+VRE!X103+VRE!X105+VRE!X109+VRE!X111</f>
        <v>1.5292083619472272</v>
      </c>
      <c r="U125">
        <f>FT!Y164+FT!Y166+FT!Y170+FT!Y172+'Forest Glen'!Y259+'Forest Glen'!Y261+NC!Y163+NC!Y165+NC!Y169+NC!Y171+TB!Y163+TB!Y165+TB!Y169+TB!Y171+WH!Y157+WH!Y159+WH!Y163+WH!Y165+'A-N Drive'!Y225+'A-N Drive'!Y227+'A-N Drive'!Y231+'A-N Drive'!Y233+VRE!Y103+VRE!Y105+VRE!Y109+VRE!Y111</f>
        <v>1.5414615244340195</v>
      </c>
      <c r="V125">
        <f>FT!Z164+FT!Z166+FT!Z170+FT!Z172+'Forest Glen'!Z259+'Forest Glen'!Z261+NC!Z163+NC!Z165+NC!Z169+NC!Z171+TB!Z163+TB!Z165+TB!Z169+TB!Z171+WH!Z157+WH!Z159+WH!Z163+WH!Z165+'A-N Drive'!Z225+'A-N Drive'!Z227+'A-N Drive'!Z231+'A-N Drive'!Z233+VRE!Z103+VRE!Z105+VRE!Z109+VRE!Z111</f>
        <v>1.5530944619350406</v>
      </c>
      <c r="W125">
        <f>FT!AA164+FT!AA166+FT!AA170+FT!AA172+'Forest Glen'!AA259+'Forest Glen'!AA261+NC!AA163+NC!AA165+NC!AA169+NC!AA171+TB!AA163+TB!AA165+TB!AA169+TB!AA171+WH!AA157+WH!AA159+WH!AA163+WH!AA165+'A-N Drive'!AA225+'A-N Drive'!AA227+'A-N Drive'!AA231+'A-N Drive'!AA233+VRE!AA103+VRE!AA105+VRE!AA109+VRE!AA111</f>
        <v>1.5639906387373883</v>
      </c>
      <c r="X125">
        <f>FT!AB164+FT!AB166+FT!AB170+FT!AB172+'Forest Glen'!AB259+'Forest Glen'!AB261+NC!AB163+NC!AB165+NC!AB169+NC!AB171+TB!AB163+TB!AB165+TB!AB169+TB!AB171+WH!AB157+WH!AB159+WH!AB163+WH!AB165+'A-N Drive'!AB225+'A-N Drive'!AB227+'A-N Drive'!AB231+'A-N Drive'!AB233+VRE!AB103+VRE!AB105+VRE!AB109+VRE!AB111</f>
        <v>1.5740171599867496</v>
      </c>
      <c r="Y125">
        <f>FT!AC164+FT!AC166+FT!AC170+FT!AC172+'Forest Glen'!AC259+'Forest Glen'!AC261+NC!AC163+NC!AC165+NC!AC169+NC!AC171+TB!AC163+TB!AC165+TB!AC169+TB!AC171+WH!AC157+WH!AC159+WH!AC163+WH!AC165+'A-N Drive'!AC225+'A-N Drive'!AC227+'A-N Drive'!AC231+'A-N Drive'!AC233+VRE!AC103+VRE!AC105+VRE!AC109+VRE!AC111</f>
        <v>1.5830225275828891</v>
      </c>
      <c r="Z125" s="538">
        <f>SUM(B125:Y125)</f>
        <v>30.797517319283749</v>
      </c>
    </row>
    <row r="126" spans="1:26">
      <c r="A126" s="497" t="s">
        <v>635</v>
      </c>
      <c r="B126">
        <f>FT!F176+FT!F178+'Forest Glen'!F265+'Forest Glen'!F267+NC!F175+NC!F177+TB!F175+TB!F177+WH!F169+WH!F171+'A-N Drive'!F237+'A-N Drive'!F239+VRE!F115+VRE!F117</f>
        <v>0</v>
      </c>
      <c r="C126">
        <f>FT!G176+FT!G178+'Forest Glen'!G265+'Forest Glen'!G267+NC!G175+NC!G177+TB!G175+TB!G177+WH!G169+WH!G171+'A-N Drive'!G237+'A-N Drive'!G239+VRE!G115+VRE!G117</f>
        <v>-0.35590907745474243</v>
      </c>
      <c r="D126">
        <f>FT!H176+FT!H178+'Forest Glen'!H265+'Forest Glen'!H267+NC!H175+NC!H177+TB!H175+TB!H177+WH!H169+WH!H171+'A-N Drive'!H237+'A-N Drive'!H239+VRE!H115+VRE!H117</f>
        <v>-0.92579798504506317</v>
      </c>
      <c r="E126">
        <f>FT!I176+FT!I178+'Forest Glen'!I265+'Forest Glen'!I267+NC!I175+NC!I177+TB!I175+TB!I177+WH!I169+WH!I171+'A-N Drive'!I237+'A-N Drive'!I239+VRE!I115+VRE!I117</f>
        <v>-0.93950199303056003</v>
      </c>
      <c r="F126">
        <f>FT!J176+FT!J178+'Forest Glen'!J265+'Forest Glen'!J267+NC!J175+NC!J177+TB!J175+TB!J177+WH!J169+WH!J171+'A-N Drive'!J237+'A-N Drive'!J239+VRE!J115+VRE!J117</f>
        <v>-1.1101197082105561</v>
      </c>
      <c r="G126">
        <f>FT!K176+FT!K178+'Forest Glen'!K265+'Forest Glen'!K267+NC!K175+NC!K177+TB!K175+TB!K177+WH!K169+WH!K171+'A-N Drive'!K237+'A-N Drive'!K239+VRE!K115+VRE!K117</f>
        <v>-1.182461023437817</v>
      </c>
      <c r="H126">
        <f>FT!L176+FT!L178+'Forest Glen'!L265+'Forest Glen'!L267+NC!L175+NC!L177+TB!L175+TB!L177+WH!L169+WH!L171+'A-N Drive'!L237+'A-N Drive'!L239+VRE!L115+VRE!L117</f>
        <v>-1.2010230423652517</v>
      </c>
      <c r="I126">
        <f>FT!M176+FT!M178+'Forest Glen'!M265+'Forest Glen'!M267+NC!M175+NC!M177+TB!M175+TB!M177+WH!M169+WH!M171+'A-N Drive'!M237+'A-N Drive'!M239+VRE!M115+VRE!M117</f>
        <v>-1.2199140684901904</v>
      </c>
      <c r="J126">
        <f>FT!N176+FT!N178+'Forest Glen'!N265+'Forest Glen'!N267+NC!N175+NC!N177+TB!N175+TB!N177+WH!N169+WH!N171+'A-N Drive'!N237+'A-N Drive'!N239+VRE!N115+VRE!N117</f>
        <v>-1.2391467061320434</v>
      </c>
      <c r="K126">
        <f>FT!O176+FT!O178+'Forest Glen'!O265+'Forest Glen'!O267+NC!O175+NC!O177+TB!O175+TB!O177+WH!O169+WH!O171+'A-N Drive'!O237+'A-N Drive'!O239+VRE!O115+VRE!O117</f>
        <v>-1.2558697625131638</v>
      </c>
      <c r="L126">
        <f>FT!P176+FT!P178+'Forest Glen'!P265+'Forest Glen'!P267+NC!P175+NC!P177+TB!P175+TB!P177+WH!P169+WH!P171+'A-N Drive'!P237+'A-N Drive'!P239+VRE!P115+VRE!P117</f>
        <v>-1.2728415508208135</v>
      </c>
      <c r="M126">
        <f>FT!Q176+FT!Q178+'Forest Glen'!Q265+'Forest Glen'!Q267+NC!Q175+NC!Q177+TB!Q175+TB!Q177+WH!Q169+WH!Q171+'A-N Drive'!Q237+'A-N Drive'!Q239+VRE!Q115+VRE!Q117</f>
        <v>-1.2900733118103409</v>
      </c>
      <c r="N126">
        <f>FT!R176+FT!R178+'Forest Glen'!R265+'Forest Glen'!R267+NC!R175+NC!R177+TB!R175+TB!R177+WH!R169+WH!R171+'A-N Drive'!R237+'A-N Drive'!R239+VRE!R115+VRE!R117</f>
        <v>-1.3075774164042226</v>
      </c>
      <c r="O126">
        <f>FT!S176+FT!S178+'Forest Glen'!S265+'Forest Glen'!S267+NC!S175+NC!S177+TB!S175+TB!S177+WH!S169+WH!S171+'A-N Drive'!S237+'A-N Drive'!S239+VRE!S115+VRE!S117</f>
        <v>-1.3253675126278743</v>
      </c>
      <c r="P126">
        <f>FT!T176+FT!T178+'Forest Glen'!T265+'Forest Glen'!T267+NC!T175+NC!T177+TB!T175+TB!T177+WH!T169+WH!T171+'A-N Drive'!T237+'A-N Drive'!T239+VRE!T115+VRE!T117</f>
        <v>-1.3434586924976626</v>
      </c>
      <c r="Q126">
        <f>FT!U176+FT!U178+'Forest Glen'!U265+'Forest Glen'!U267+NC!U175+NC!U177+TB!U175+TB!U177+WH!U169+WH!U171+'A-N Drive'!U237+'A-N Drive'!U239+VRE!U115+VRE!U117</f>
        <v>-1.3618676815876485</v>
      </c>
      <c r="R126">
        <f>FT!V176+FT!V178+'Forest Glen'!V265+'Forest Glen'!V267+NC!V175+NC!V177+TB!V175+TB!V177+WH!V169+WH!V171+'A-N Drive'!V237+'A-N Drive'!V239+VRE!V115+VRE!V117</f>
        <v>-1.3806130543745432</v>
      </c>
      <c r="S126">
        <f>FT!W176+FT!W178+'Forest Glen'!W265+'Forest Glen'!W267+NC!W175+NC!W177+TB!W175+TB!W177+WH!W169+WH!W171+'A-N Drive'!W237+'A-N Drive'!W239+VRE!W115+VRE!W117</f>
        <v>-1.3997154788842818</v>
      </c>
      <c r="T126">
        <f>FT!X176+FT!X178+'Forest Glen'!X265+'Forest Glen'!X267+NC!X175+NC!X177+TB!X175+TB!X177+WH!X169+WH!X171+'A-N Drive'!X237+'A-N Drive'!X239+VRE!X115+VRE!X117</f>
        <v>-1.4191979946455808</v>
      </c>
      <c r="U126">
        <f>FT!Y176+FT!Y178+'Forest Glen'!Y265+'Forest Glen'!Y267+NC!Y175+NC!Y177+TB!Y175+TB!Y177+WH!Y169+WH!Y171+'A-N Drive'!Y237+'A-N Drive'!Y239+VRE!Y115+VRE!Y117</f>
        <v>-1.4390863285037119</v>
      </c>
      <c r="V126">
        <f>FT!Z176+FT!Z178+'Forest Glen'!Z265+'Forest Glen'!Z267+NC!Z175+NC!Z177+TB!Z175+TB!Z177+WH!Z169+WH!Z171+'A-N Drive'!Z237+'A-N Drive'!Z239+VRE!Z115+VRE!Z117</f>
        <v>-1.4594092534705378</v>
      </c>
      <c r="W126">
        <f>FT!AA176+FT!AA178+'Forest Glen'!AA265+'Forest Glen'!AA267+NC!AA175+NC!AA177+TB!AA175+TB!AA177+WH!AA169+WH!AA171+'A-N Drive'!AA237+'A-N Drive'!AA239+VRE!AA115+VRE!AA117</f>
        <v>-1.480198996494885</v>
      </c>
      <c r="X126">
        <f>FT!AB176+FT!AB178+'Forest Glen'!AB265+'Forest Glen'!AB267+NC!AB175+NC!AB177+TB!AB175+TB!AB177+WH!AB169+WH!AB171+'A-N Drive'!AB237+'A-N Drive'!AB239+VRE!AB115+VRE!AB117</f>
        <v>-1.5014917018422056</v>
      </c>
      <c r="Y126">
        <f>FT!AC176+FT!AC178+'Forest Glen'!AC265+'Forest Glen'!AC267+NC!AC175+NC!AC177+TB!AC175+TB!AC177+WH!AC169+WH!AC171+'A-N Drive'!AC237+'A-N Drive'!AC239+VRE!AC115+VRE!AC117</f>
        <v>-1.5233279576874394</v>
      </c>
      <c r="Z126" s="538">
        <f>SUM(B126:Y126)</f>
        <v>-28.933970298331136</v>
      </c>
    </row>
    <row r="127" spans="1:26">
      <c r="B127" s="34"/>
    </row>
  </sheetData>
  <mergeCells count="7">
    <mergeCell ref="A90:A91"/>
    <mergeCell ref="A92:A93"/>
    <mergeCell ref="A94:A95"/>
    <mergeCell ref="A82:A83"/>
    <mergeCell ref="A84:A85"/>
    <mergeCell ref="A86:A87"/>
    <mergeCell ref="A88:A89"/>
  </mergeCells>
  <phoneticPr fontId="3"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BA255"/>
  <sheetViews>
    <sheetView topLeftCell="A136" zoomScale="75" zoomScaleNormal="75" workbookViewId="0">
      <selection activeCell="H39" sqref="H39"/>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c r="K5" s="312"/>
      <c r="L5" s="312"/>
      <c r="M5" s="312"/>
      <c r="N5" s="312"/>
      <c r="O5" s="312"/>
      <c r="P5" s="312"/>
      <c r="Q5" s="312"/>
      <c r="R5" s="312"/>
      <c r="S5" s="312"/>
      <c r="T5" s="312"/>
      <c r="U5" s="312"/>
      <c r="V5" s="312"/>
      <c r="W5" s="312"/>
      <c r="X5" s="312"/>
      <c r="Y5" s="312"/>
      <c r="Z5" s="312"/>
      <c r="AA5" s="312"/>
      <c r="AB5" s="312"/>
      <c r="AC5" s="407"/>
      <c r="AD5" s="359"/>
    </row>
    <row r="6" spans="1:33">
      <c r="A6" s="44"/>
      <c r="B6" s="44"/>
      <c r="C6" s="55" t="s">
        <v>404</v>
      </c>
      <c r="D6" s="226"/>
      <c r="E6" s="234"/>
      <c r="F6" s="312"/>
      <c r="G6" s="312">
        <v>-1733836.4850000001</v>
      </c>
      <c r="H6" s="312">
        <v>-2437213.5150000001</v>
      </c>
      <c r="I6" s="312"/>
      <c r="K6" s="312"/>
      <c r="L6" s="312"/>
      <c r="M6" s="312"/>
      <c r="N6" s="312"/>
      <c r="O6" s="312"/>
      <c r="P6" s="312"/>
      <c r="Q6" s="312"/>
      <c r="R6" s="312"/>
      <c r="S6" s="312"/>
      <c r="T6" s="312"/>
      <c r="U6" s="312"/>
      <c r="V6" s="312"/>
      <c r="W6" s="312"/>
      <c r="X6" s="312"/>
      <c r="Y6" s="312"/>
      <c r="Z6" s="312"/>
      <c r="AA6" s="312"/>
      <c r="AB6" s="312"/>
      <c r="AC6" s="407"/>
      <c r="AD6" s="359"/>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ref="AD7:AD55" si="0">SUM(F7:AC7)</f>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404"/>
      <c r="AC9" s="283"/>
      <c r="AD9" s="361">
        <f t="shared" si="0"/>
        <v>0</v>
      </c>
    </row>
    <row r="10" spans="1:33" s="53" customFormat="1" ht="12">
      <c r="A10" s="58"/>
      <c r="B10" s="70" t="s">
        <v>463</v>
      </c>
      <c r="C10" s="70" t="s">
        <v>366</v>
      </c>
      <c r="D10" s="228"/>
      <c r="E10" s="235"/>
      <c r="F10" s="59">
        <f>'FT Users'!C5</f>
        <v>0</v>
      </c>
      <c r="G10" s="59">
        <f>'FT Users'!D5</f>
        <v>371484.72665564885</v>
      </c>
      <c r="H10" s="59">
        <f>'FT Users'!E5</f>
        <v>750782.15880509955</v>
      </c>
      <c r="I10" s="59">
        <f>'FT Users'!F5</f>
        <v>758594.86429890129</v>
      </c>
      <c r="J10" s="59">
        <f>'FT Users'!G5</f>
        <v>766407.56979270279</v>
      </c>
      <c r="K10" s="59">
        <f>'FT Users'!H5</f>
        <v>774220.27528650477</v>
      </c>
      <c r="L10" s="59">
        <f>'FT Users'!I5</f>
        <v>782032.98078030651</v>
      </c>
      <c r="M10" s="59">
        <f>'FT Users'!J5</f>
        <v>789845.68627410836</v>
      </c>
      <c r="N10" s="59">
        <f>'FT Users'!K5</f>
        <v>797658.39176790998</v>
      </c>
      <c r="O10" s="59">
        <f>'FT Users'!L5</f>
        <v>800088.00043904327</v>
      </c>
      <c r="P10" s="59">
        <f>'FT Users'!M5</f>
        <v>802517.60911017656</v>
      </c>
      <c r="Q10" s="59">
        <f>'FT Users'!N5</f>
        <v>804947.21778130974</v>
      </c>
      <c r="R10" s="59">
        <f>'FT Users'!O5</f>
        <v>807376.82645244314</v>
      </c>
      <c r="S10" s="59">
        <f>'FT Users'!P5</f>
        <v>809806.43512357632</v>
      </c>
      <c r="T10" s="59">
        <f>'FT Users'!Q5</f>
        <v>812236.04379470961</v>
      </c>
      <c r="U10" s="59">
        <f>'FT Users'!R5</f>
        <v>814665.6524658429</v>
      </c>
      <c r="V10" s="59">
        <f>'FT Users'!S5</f>
        <v>817095.26113697619</v>
      </c>
      <c r="W10" s="59">
        <f>'FT Users'!T5</f>
        <v>819524.86980810936</v>
      </c>
      <c r="X10" s="59">
        <f>'FT Users'!U5</f>
        <v>821954.47847924277</v>
      </c>
      <c r="Y10" s="59">
        <f>'FT Users'!V5</f>
        <v>824384.08715037594</v>
      </c>
      <c r="Z10" s="59">
        <f>'FT Users'!W5</f>
        <v>826813.69582150923</v>
      </c>
      <c r="AA10" s="59">
        <f>'FT Users'!X5</f>
        <v>829243.30449264252</v>
      </c>
      <c r="AB10" s="59">
        <f>'FT Users'!Y5</f>
        <v>831672.91316377581</v>
      </c>
      <c r="AC10" s="284">
        <f>'FT Users'!Z5</f>
        <v>834102.5218349091</v>
      </c>
      <c r="AD10" s="362">
        <f t="shared" si="0"/>
        <v>18047455.570715826</v>
      </c>
    </row>
    <row r="11" spans="1:33" s="53" customFormat="1" ht="12">
      <c r="A11" s="58"/>
      <c r="B11" s="70" t="s">
        <v>462</v>
      </c>
      <c r="C11" s="54" t="s">
        <v>431</v>
      </c>
      <c r="D11" s="228"/>
      <c r="E11" s="235"/>
      <c r="F11" s="59">
        <f>'FT Users'!C6</f>
        <v>0</v>
      </c>
      <c r="G11" s="59">
        <f>'FT Users'!D6</f>
        <v>22289.08359933893</v>
      </c>
      <c r="H11" s="59">
        <f>'FT Users'!E6</f>
        <v>45046.929528305969</v>
      </c>
      <c r="I11" s="59">
        <f>'FT Users'!F6</f>
        <v>45515.691857934078</v>
      </c>
      <c r="J11" s="59">
        <f>'FT Users'!G6</f>
        <v>45984.454187562165</v>
      </c>
      <c r="K11" s="59">
        <f>'FT Users'!H6</f>
        <v>46453.216517190282</v>
      </c>
      <c r="L11" s="59">
        <f>'FT Users'!I6</f>
        <v>46921.978846818391</v>
      </c>
      <c r="M11" s="59">
        <f>'FT Users'!J6</f>
        <v>47390.7411764465</v>
      </c>
      <c r="N11" s="59">
        <f>'FT Users'!K6</f>
        <v>47859.503506074594</v>
      </c>
      <c r="O11" s="59">
        <f>'FT Users'!L6</f>
        <v>48005.280026342596</v>
      </c>
      <c r="P11" s="59">
        <f>'FT Users'!M6</f>
        <v>48151.056546610591</v>
      </c>
      <c r="Q11" s="59">
        <f>'FT Users'!N6</f>
        <v>48296.833066878586</v>
      </c>
      <c r="R11" s="59">
        <f>'FT Users'!O6</f>
        <v>48442.609587146588</v>
      </c>
      <c r="S11" s="59">
        <f>'FT Users'!P6</f>
        <v>48588.386107414575</v>
      </c>
      <c r="T11" s="59">
        <f>'FT Users'!Q6</f>
        <v>48734.162627682577</v>
      </c>
      <c r="U11" s="59">
        <f>'FT Users'!R6</f>
        <v>48879.939147950572</v>
      </c>
      <c r="V11" s="59">
        <f>'FT Users'!S6</f>
        <v>49025.715668218567</v>
      </c>
      <c r="W11" s="59">
        <f>'FT Users'!T6</f>
        <v>49171.492188486562</v>
      </c>
      <c r="X11" s="59">
        <f>'FT Users'!U6</f>
        <v>49317.268708754564</v>
      </c>
      <c r="Y11" s="59">
        <f>'FT Users'!V6</f>
        <v>49463.045229022551</v>
      </c>
      <c r="Z11" s="59">
        <f>'FT Users'!W6</f>
        <v>49608.821749290553</v>
      </c>
      <c r="AA11" s="59">
        <f>'FT Users'!X6</f>
        <v>49754.598269558548</v>
      </c>
      <c r="AB11" s="59">
        <f>'FT Users'!Y6</f>
        <v>49900.37478982655</v>
      </c>
      <c r="AC11" s="284">
        <f>'FT Users'!Z6</f>
        <v>50046.151310094545</v>
      </c>
      <c r="AD11" s="362">
        <f t="shared" si="0"/>
        <v>1082847.3342429495</v>
      </c>
    </row>
    <row r="12" spans="1:33" s="53" customFormat="1" ht="12">
      <c r="A12" s="58"/>
      <c r="B12" s="70"/>
      <c r="C12" s="78" t="s">
        <v>418</v>
      </c>
      <c r="D12" s="228"/>
      <c r="E12" s="235"/>
      <c r="F12" s="59">
        <f>'FT Users'!C7</f>
        <v>0</v>
      </c>
      <c r="G12" s="59">
        <f>'FT Users'!D7</f>
        <v>14859.389066225955</v>
      </c>
      <c r="H12" s="59">
        <f>'FT Users'!E7</f>
        <v>30031.286352203984</v>
      </c>
      <c r="I12" s="59">
        <f>'FT Users'!F7</f>
        <v>30343.794571956052</v>
      </c>
      <c r="J12" s="59">
        <f>'FT Users'!G7</f>
        <v>30656.302791708113</v>
      </c>
      <c r="K12" s="59">
        <f>'FT Users'!H7</f>
        <v>30968.811011460191</v>
      </c>
      <c r="L12" s="59">
        <f>'FT Users'!I7</f>
        <v>31281.319231212259</v>
      </c>
      <c r="M12" s="59">
        <f>'FT Users'!J7</f>
        <v>31593.827450964334</v>
      </c>
      <c r="N12" s="59">
        <f>'FT Users'!K7</f>
        <v>31906.335670716398</v>
      </c>
      <c r="O12" s="59">
        <f>'FT Users'!L7</f>
        <v>32003.520017561732</v>
      </c>
      <c r="P12" s="59">
        <f>'FT Users'!M7</f>
        <v>32100.704364407062</v>
      </c>
      <c r="Q12" s="59">
        <f>'FT Users'!N7</f>
        <v>32197.888711252392</v>
      </c>
      <c r="R12" s="59">
        <f>'FT Users'!O7</f>
        <v>32295.073058097725</v>
      </c>
      <c r="S12" s="59">
        <f>'FT Users'!P7</f>
        <v>32392.257404943055</v>
      </c>
      <c r="T12" s="59">
        <f>'FT Users'!Q7</f>
        <v>32489.441751788385</v>
      </c>
      <c r="U12" s="59">
        <f>'FT Users'!R7</f>
        <v>32586.626098633718</v>
      </c>
      <c r="V12" s="59">
        <f>'FT Users'!S7</f>
        <v>32683.810445479048</v>
      </c>
      <c r="W12" s="59">
        <f>'FT Users'!T7</f>
        <v>32780.994792324374</v>
      </c>
      <c r="X12" s="59">
        <f>'FT Users'!U7</f>
        <v>32878.179139169712</v>
      </c>
      <c r="Y12" s="59">
        <f>'FT Users'!V7</f>
        <v>32975.363486015041</v>
      </c>
      <c r="Z12" s="59">
        <f>'FT Users'!W7</f>
        <v>33072.547832860371</v>
      </c>
      <c r="AA12" s="59">
        <f>'FT Users'!X7</f>
        <v>33169.732179705701</v>
      </c>
      <c r="AB12" s="59">
        <f>'FT Users'!Y7</f>
        <v>33266.916526551031</v>
      </c>
      <c r="AC12" s="284">
        <f>'FT Users'!Z7</f>
        <v>33364.100873396368</v>
      </c>
      <c r="AD12" s="362">
        <f t="shared" si="0"/>
        <v>721898.22282863304</v>
      </c>
    </row>
    <row r="13" spans="1:33" s="53" customFormat="1" ht="12">
      <c r="A13" s="58"/>
      <c r="B13" s="70"/>
      <c r="D13" s="228"/>
      <c r="E13" s="235"/>
      <c r="AC13" s="283"/>
      <c r="AD13" s="362">
        <f t="shared" si="0"/>
        <v>0</v>
      </c>
    </row>
    <row r="14" spans="1:33" s="53" customFormat="1" ht="12">
      <c r="A14" s="58"/>
      <c r="B14" s="5" t="s">
        <v>277</v>
      </c>
      <c r="D14" s="228"/>
      <c r="E14" s="235"/>
      <c r="AC14" s="283"/>
      <c r="AD14" s="362">
        <f t="shared" si="0"/>
        <v>0</v>
      </c>
    </row>
    <row r="15" spans="1:33" s="53" customFormat="1" ht="12">
      <c r="A15" s="58"/>
      <c r="B15" s="70" t="s">
        <v>463</v>
      </c>
      <c r="C15" s="70" t="s">
        <v>366</v>
      </c>
      <c r="D15" s="228"/>
      <c r="E15" s="235"/>
      <c r="F15" s="59">
        <f>'FT Users'!C11</f>
        <v>0</v>
      </c>
      <c r="G15" s="59">
        <f>'FT Users'!D11</f>
        <v>2319.0720000000001</v>
      </c>
      <c r="H15" s="59">
        <f>'FT Users'!E11</f>
        <v>5272.6420992000003</v>
      </c>
      <c r="I15" s="59">
        <f>'FT Users'!F11</f>
        <v>5993.9395383705605</v>
      </c>
      <c r="J15" s="59">
        <f>'FT Users'!G11</f>
        <v>6813.9104672196536</v>
      </c>
      <c r="K15" s="59">
        <f>'FT Users'!H11</f>
        <v>7746.0534191353017</v>
      </c>
      <c r="L15" s="59">
        <f>'FT Users'!I11</f>
        <v>8805.7135268730108</v>
      </c>
      <c r="M15" s="59">
        <f>'FT Users'!J11</f>
        <v>10010.335137349241</v>
      </c>
      <c r="N15" s="59">
        <f>'FT Users'!K11</f>
        <v>11379.748984138616</v>
      </c>
      <c r="O15" s="59">
        <f>'FT Users'!L11</f>
        <v>12936.49864516878</v>
      </c>
      <c r="P15" s="59">
        <f>'FT Users'!M11</f>
        <v>14706.21165982787</v>
      </c>
      <c r="Q15" s="59">
        <f>'FT Users'!N11</f>
        <v>16718.021414892322</v>
      </c>
      <c r="R15" s="59">
        <f>'FT Users'!O11</f>
        <v>19005.046744449592</v>
      </c>
      <c r="S15" s="59">
        <f>'FT Users'!P11</f>
        <v>21604.937139090296</v>
      </c>
      <c r="T15" s="59">
        <f>'FT Users'!Q11</f>
        <v>24560.492539717852</v>
      </c>
      <c r="U15" s="59">
        <f>'FT Users'!R11</f>
        <v>27920.367919151257</v>
      </c>
      <c r="V15" s="59">
        <f>'FT Users'!S11</f>
        <v>31739.87425049115</v>
      </c>
      <c r="W15" s="59">
        <f>'FT Users'!T11</f>
        <v>36081.889047958342</v>
      </c>
      <c r="X15" s="59">
        <f>'FT Users'!U11</f>
        <v>41017.891469719048</v>
      </c>
      <c r="Y15" s="59">
        <f>'FT Users'!V11</f>
        <v>46629.13902277661</v>
      </c>
      <c r="Z15" s="59">
        <f>'FT Users'!W11</f>
        <v>53008.005241092455</v>
      </c>
      <c r="AA15" s="59">
        <f>'FT Users'!X11</f>
        <v>60259.500358073907</v>
      </c>
      <c r="AB15" s="59">
        <f>'FT Users'!Y11</f>
        <v>68503.000007058406</v>
      </c>
      <c r="AC15" s="284">
        <f>'FT Users'!Z11</f>
        <v>77874.210408023995</v>
      </c>
      <c r="AD15" s="362">
        <f t="shared" si="0"/>
        <v>610906.50103977835</v>
      </c>
      <c r="AG15" s="390"/>
    </row>
    <row r="16" spans="1:33" s="53" customFormat="1" ht="12">
      <c r="A16" s="58"/>
      <c r="B16" s="70" t="s">
        <v>462</v>
      </c>
      <c r="C16" s="54" t="s">
        <v>433</v>
      </c>
      <c r="D16" s="228"/>
      <c r="E16" s="235"/>
      <c r="F16" s="59">
        <f>'FT Users'!C12</f>
        <v>0</v>
      </c>
      <c r="G16" s="59">
        <f>'FT Users'!D12</f>
        <v>115.95360000000001</v>
      </c>
      <c r="H16" s="59">
        <f>'FT Users'!E12</f>
        <v>263.63210496000005</v>
      </c>
      <c r="I16" s="59">
        <f>'FT Users'!F12</f>
        <v>299.69697691852804</v>
      </c>
      <c r="J16" s="59">
        <f>'FT Users'!G12</f>
        <v>340.69552336098269</v>
      </c>
      <c r="K16" s="59">
        <f>'FT Users'!H12</f>
        <v>387.3026709567651</v>
      </c>
      <c r="L16" s="59">
        <f>'FT Users'!I12</f>
        <v>440.28567634365055</v>
      </c>
      <c r="M16" s="59">
        <f>'FT Users'!J12</f>
        <v>500.51675686746205</v>
      </c>
      <c r="N16" s="59">
        <f>'FT Users'!K12</f>
        <v>568.98744920693082</v>
      </c>
      <c r="O16" s="59">
        <f>'FT Users'!L12</f>
        <v>646.82493225843905</v>
      </c>
      <c r="P16" s="59">
        <f>'FT Users'!M12</f>
        <v>735.31058299139352</v>
      </c>
      <c r="Q16" s="59">
        <f>'FT Users'!N12</f>
        <v>835.90107074461616</v>
      </c>
      <c r="R16" s="59">
        <f>'FT Users'!O12</f>
        <v>950.25233722247958</v>
      </c>
      <c r="S16" s="59">
        <f>'FT Users'!P12</f>
        <v>1080.2468569545149</v>
      </c>
      <c r="T16" s="59">
        <f>'FT Users'!Q12</f>
        <v>1228.0246269858926</v>
      </c>
      <c r="U16" s="59">
        <f>'FT Users'!R12</f>
        <v>1396.0183959575629</v>
      </c>
      <c r="V16" s="59">
        <f>'FT Users'!S12</f>
        <v>1586.9937125245576</v>
      </c>
      <c r="W16" s="59">
        <f>'FT Users'!T12</f>
        <v>1804.0944523979172</v>
      </c>
      <c r="X16" s="59">
        <f>'FT Users'!U12</f>
        <v>2050.8945734859526</v>
      </c>
      <c r="Y16" s="59">
        <f>'FT Users'!V12</f>
        <v>2331.4569511388304</v>
      </c>
      <c r="Z16" s="59">
        <f>'FT Users'!W12</f>
        <v>2650.400262054623</v>
      </c>
      <c r="AA16" s="59">
        <f>'FT Users'!X12</f>
        <v>3012.9750179036955</v>
      </c>
      <c r="AB16" s="59">
        <f>'FT Users'!Y12</f>
        <v>3425.1500003529204</v>
      </c>
      <c r="AC16" s="284">
        <f>'FT Users'!Z12</f>
        <v>3893.7105204012</v>
      </c>
      <c r="AD16" s="362">
        <f t="shared" si="0"/>
        <v>30545.325051988915</v>
      </c>
      <c r="AG16" s="390"/>
    </row>
    <row r="17" spans="1:33" s="53" customFormat="1" ht="12">
      <c r="A17" s="58"/>
      <c r="B17" s="70"/>
      <c r="C17" s="78" t="s">
        <v>427</v>
      </c>
      <c r="D17" s="228"/>
      <c r="E17" s="235"/>
      <c r="F17" s="59">
        <f>'FT Users'!C13</f>
        <v>0</v>
      </c>
      <c r="G17" s="59">
        <f>'FT Users'!D13</f>
        <v>92.76288000000001</v>
      </c>
      <c r="H17" s="59">
        <f>'FT Users'!E13</f>
        <v>210.90568396800001</v>
      </c>
      <c r="I17" s="59">
        <f>'FT Users'!F13</f>
        <v>239.75758153482244</v>
      </c>
      <c r="J17" s="59">
        <f>'FT Users'!G13</f>
        <v>272.55641868878615</v>
      </c>
      <c r="K17" s="59">
        <f>'FT Users'!H13</f>
        <v>309.84213676541208</v>
      </c>
      <c r="L17" s="59">
        <f>'FT Users'!I13</f>
        <v>352.22854107492043</v>
      </c>
      <c r="M17" s="59">
        <f>'FT Users'!J13</f>
        <v>400.41340549396961</v>
      </c>
      <c r="N17" s="59">
        <f>'FT Users'!K13</f>
        <v>455.18995936554467</v>
      </c>
      <c r="O17" s="59">
        <f>'FT Users'!L13</f>
        <v>517.45994580675119</v>
      </c>
      <c r="P17" s="59">
        <f>'FT Users'!M13</f>
        <v>588.24846639311477</v>
      </c>
      <c r="Q17" s="59">
        <f>'FT Users'!N13</f>
        <v>668.72085659569291</v>
      </c>
      <c r="R17" s="59">
        <f>'FT Users'!O13</f>
        <v>760.20186977798369</v>
      </c>
      <c r="S17" s="59">
        <f>'FT Users'!P13</f>
        <v>864.19748556361185</v>
      </c>
      <c r="T17" s="59">
        <f>'FT Users'!Q13</f>
        <v>982.41970158871413</v>
      </c>
      <c r="U17" s="59">
        <f>'FT Users'!R13</f>
        <v>1116.8147167660502</v>
      </c>
      <c r="V17" s="59">
        <f>'FT Users'!S13</f>
        <v>1269.5949700196461</v>
      </c>
      <c r="W17" s="59">
        <f>'FT Users'!T13</f>
        <v>1443.2755619183338</v>
      </c>
      <c r="X17" s="59">
        <f>'FT Users'!U13</f>
        <v>1640.7156587887621</v>
      </c>
      <c r="Y17" s="59">
        <f>'FT Users'!V13</f>
        <v>1865.1655609110644</v>
      </c>
      <c r="Z17" s="59">
        <f>'FT Users'!W13</f>
        <v>2120.320209643698</v>
      </c>
      <c r="AA17" s="59">
        <f>'FT Users'!X13</f>
        <v>2410.3800143229564</v>
      </c>
      <c r="AB17" s="59">
        <f>'FT Users'!Y13</f>
        <v>2740.1200002823362</v>
      </c>
      <c r="AC17" s="284">
        <f>'FT Users'!Z13</f>
        <v>3114.9684163209599</v>
      </c>
      <c r="AD17" s="362">
        <f t="shared" si="0"/>
        <v>24436.260041591129</v>
      </c>
      <c r="AG17" s="70" t="s">
        <v>570</v>
      </c>
    </row>
    <row r="18" spans="1:33" s="53" customFormat="1" ht="12">
      <c r="A18" s="58"/>
      <c r="B18" s="70"/>
      <c r="C18" s="48"/>
      <c r="D18" s="228"/>
      <c r="E18" s="235"/>
      <c r="AC18" s="283"/>
      <c r="AD18" s="362">
        <f t="shared" si="0"/>
        <v>0</v>
      </c>
      <c r="AG18" s="391">
        <f>AD45+AD57+AD64</f>
        <v>6805472.1760781202</v>
      </c>
    </row>
    <row r="19" spans="1:33" s="53" customFormat="1" ht="12">
      <c r="A19" s="58"/>
      <c r="B19" s="70"/>
      <c r="C19" s="58" t="s">
        <v>436</v>
      </c>
      <c r="D19" s="228"/>
      <c r="E19" s="235"/>
      <c r="AC19" s="283"/>
      <c r="AD19" s="361">
        <f t="shared" si="0"/>
        <v>0</v>
      </c>
      <c r="AG19" s="308" t="e">
        <f>+#REF!+#REF!+#REF!+AD167+AD165</f>
        <v>#REF!</v>
      </c>
    </row>
    <row r="20" spans="1:33" s="53" customFormat="1" ht="12">
      <c r="A20" s="58"/>
      <c r="B20" s="70"/>
      <c r="C20" s="78" t="s">
        <v>505</v>
      </c>
      <c r="D20" s="228"/>
      <c r="E20" s="235"/>
      <c r="F20" s="299">
        <f>'FT Users'!C24</f>
        <v>0</v>
      </c>
      <c r="G20" s="299">
        <f>'FT Users'!D24</f>
        <v>37357.189145564887</v>
      </c>
      <c r="H20" s="299">
        <f>'FT Users'!E24</f>
        <v>75552.753669437952</v>
      </c>
      <c r="I20" s="299">
        <f>'FT Users'!F24</f>
        <v>76398.940988343471</v>
      </c>
      <c r="J20" s="299">
        <f>'FT Users'!G24</f>
        <v>77254.008921320055</v>
      </c>
      <c r="K20" s="299">
        <f>'FT Users'!H24</f>
        <v>78119.172336372649</v>
      </c>
      <c r="L20" s="299">
        <f>'FT Users'!I24</f>
        <v>78995.812295449228</v>
      </c>
      <c r="M20" s="299">
        <f>'FT Users'!J24</f>
        <v>79885.49878977226</v>
      </c>
      <c r="N20" s="299">
        <f>'FT Users'!K24</f>
        <v>80790.016585363468</v>
      </c>
      <c r="O20" s="299">
        <f>'FT Users'!L24</f>
        <v>81173.084921969523</v>
      </c>
      <c r="P20" s="299">
        <f>'FT Users'!M24</f>
        <v>81575.319960402165</v>
      </c>
      <c r="Q20" s="299">
        <f>'FT Users'!N24</f>
        <v>81999.343705471285</v>
      </c>
      <c r="R20" s="299">
        <f>'FT Users'!O24</f>
        <v>82448.136852244788</v>
      </c>
      <c r="S20" s="299">
        <f>'FT Users'!P24</f>
        <v>82925.087854875761</v>
      </c>
      <c r="T20" s="299">
        <f>'FT Users'!Q24</f>
        <v>83434.048708045564</v>
      </c>
      <c r="U20" s="299">
        <f>'FT Users'!R24</f>
        <v>83979.398359307903</v>
      </c>
      <c r="V20" s="299">
        <f>'FT Users'!S24</f>
        <v>84566.114796241833</v>
      </c>
      <c r="W20" s="299">
        <f>'FT Users'!T24</f>
        <v>85199.856995127178</v>
      </c>
      <c r="X20" s="299">
        <f>'FT Users'!U24</f>
        <v>85887.058080199</v>
      </c>
      <c r="Y20" s="299">
        <f>'FT Users'!V24</f>
        <v>86635.031227087486</v>
      </c>
      <c r="Z20" s="299">
        <f>'FT Users'!W24</f>
        <v>87452.090053849242</v>
      </c>
      <c r="AA20" s="299">
        <f>'FT Users'!X24</f>
        <v>88347.685481490902</v>
      </c>
      <c r="AB20" s="299">
        <f>'FT Users'!Y24</f>
        <v>89332.561317012834</v>
      </c>
      <c r="AC20" s="408">
        <f>'FT Users'!Z24</f>
        <v>90418.931120213078</v>
      </c>
      <c r="AD20" s="364">
        <f t="shared" si="0"/>
        <v>1859727.1421651624</v>
      </c>
    </row>
    <row r="21" spans="1:33" s="53" customFormat="1" ht="12">
      <c r="A21" s="58"/>
      <c r="B21" s="70"/>
      <c r="C21" s="78" t="s">
        <v>506</v>
      </c>
      <c r="D21" s="228"/>
      <c r="E21" s="235"/>
      <c r="F21" s="299">
        <f>'FT Users'!C25</f>
        <v>0</v>
      </c>
      <c r="G21" s="299">
        <f>'FT Users'!D25</f>
        <v>0</v>
      </c>
      <c r="H21" s="299">
        <f>'FT Users'!E25</f>
        <v>-37747.310735189021</v>
      </c>
      <c r="I21" s="299">
        <f>'FT Users'!F25</f>
        <v>-38170.078855682077</v>
      </c>
      <c r="J21" s="299">
        <f>'FT Users'!G25</f>
        <v>-38597.283866726153</v>
      </c>
      <c r="K21" s="299">
        <f>'FT Users'!H25</f>
        <v>-39029.532734948647</v>
      </c>
      <c r="L21" s="299">
        <f>'FT Users'!I25</f>
        <v>-39467.515460011557</v>
      </c>
      <c r="M21" s="299">
        <f>'FT Users'!J25</f>
        <v>-39912.01643353064</v>
      </c>
      <c r="N21" s="299">
        <f>'FT Users'!K25</f>
        <v>-40363.927351894701</v>
      </c>
      <c r="O21" s="299">
        <f>'FT Users'!L25</f>
        <v>-40555.314148965605</v>
      </c>
      <c r="P21" s="299">
        <f>'FT Users'!M25</f>
        <v>-40756.276923277292</v>
      </c>
      <c r="Q21" s="299">
        <f>'FT Users'!N25</f>
        <v>-40968.125668516303</v>
      </c>
      <c r="R21" s="299">
        <f>'FT Users'!O25</f>
        <v>-41192.349585505523</v>
      </c>
      <c r="S21" s="299">
        <f>'FT Users'!P25</f>
        <v>-41430.64159774033</v>
      </c>
      <c r="T21" s="299">
        <f>'FT Users'!Q25</f>
        <v>-41684.926220650363</v>
      </c>
      <c r="U21" s="299">
        <f>'FT Users'!R25</f>
        <v>-41957.391243375976</v>
      </c>
      <c r="V21" s="299">
        <f>'FT Users'!S25</f>
        <v>-42250.523744611957</v>
      </c>
      <c r="W21" s="299">
        <f>'FT Users'!T25</f>
        <v>-42567.151035418487</v>
      </c>
      <c r="X21" s="299">
        <f>'FT Users'!U25</f>
        <v>-42910.487203008866</v>
      </c>
      <c r="Y21" s="299">
        <f>'FT Users'!V25</f>
        <v>-43284.186021727073</v>
      </c>
      <c r="Z21" s="299">
        <f>'FT Users'!W25</f>
        <v>-43692.401102247444</v>
      </c>
      <c r="AA21" s="299">
        <f>'FT Users'!X25</f>
        <v>-44139.854269184485</v>
      </c>
      <c r="AB21" s="299">
        <f>'FT Users'!Y25</f>
        <v>-44631.91329276</v>
      </c>
      <c r="AC21" s="408">
        <f>'FT Users'!Z25</f>
        <v>-45174.680254162151</v>
      </c>
      <c r="AD21" s="364">
        <f t="shared" si="0"/>
        <v>-910483.8877491348</v>
      </c>
    </row>
    <row r="22" spans="1:33" s="53" customFormat="1" ht="12">
      <c r="A22" s="58"/>
      <c r="B22" s="70"/>
      <c r="C22" s="78" t="s">
        <v>507</v>
      </c>
      <c r="D22" s="228"/>
      <c r="E22" s="235"/>
      <c r="F22" s="299">
        <f>'FT Users'!C26</f>
        <v>0</v>
      </c>
      <c r="G22" s="299">
        <f>'FT Users'!D26</f>
        <v>-22405.037199338931</v>
      </c>
      <c r="H22" s="299">
        <f>'FT Users'!E26</f>
        <v>-45310.56163326597</v>
      </c>
      <c r="I22" s="299">
        <f>'FT Users'!F26</f>
        <v>-45815.388834852609</v>
      </c>
      <c r="J22" s="299">
        <f>'FT Users'!G26</f>
        <v>-46325.14971092315</v>
      </c>
      <c r="K22" s="299">
        <f>'FT Users'!H26</f>
        <v>-46840.519188147045</v>
      </c>
      <c r="L22" s="299">
        <f>'FT Users'!I26</f>
        <v>-47362.264523162041</v>
      </c>
      <c r="M22" s="299">
        <f>'FT Users'!J26</f>
        <v>-47891.257933313958</v>
      </c>
      <c r="N22" s="299">
        <f>'FT Users'!K26</f>
        <v>-48428.490955281522</v>
      </c>
      <c r="O22" s="299">
        <f>'FT Users'!L26</f>
        <v>-48652.104958601034</v>
      </c>
      <c r="P22" s="299">
        <f>'FT Users'!M26</f>
        <v>-48886.367129601982</v>
      </c>
      <c r="Q22" s="299">
        <f>'FT Users'!N26</f>
        <v>-49132.7341376232</v>
      </c>
      <c r="R22" s="299">
        <f>'FT Users'!O26</f>
        <v>-49392.86192436907</v>
      </c>
      <c r="S22" s="299">
        <f>'FT Users'!P26</f>
        <v>-49668.632964369091</v>
      </c>
      <c r="T22" s="299">
        <f>'FT Users'!Q26</f>
        <v>-49962.187254668468</v>
      </c>
      <c r="U22" s="299">
        <f>'FT Users'!R26</f>
        <v>-50275.957543908138</v>
      </c>
      <c r="V22" s="299">
        <f>'FT Users'!S26</f>
        <v>-50612.709380743123</v>
      </c>
      <c r="W22" s="299">
        <f>'FT Users'!T26</f>
        <v>-50975.586640884481</v>
      </c>
      <c r="X22" s="299">
        <f>'FT Users'!U26</f>
        <v>-51368.163282240515</v>
      </c>
      <c r="Y22" s="299">
        <f>'FT Users'!V26</f>
        <v>-51794.502180161384</v>
      </c>
      <c r="Z22" s="299">
        <f>'FT Users'!W26</f>
        <v>-52259.222011345177</v>
      </c>
      <c r="AA22" s="299">
        <f>'FT Users'!X26</f>
        <v>-52767.573287462241</v>
      </c>
      <c r="AB22" s="299">
        <f>'FT Users'!Y26</f>
        <v>-53325.524790179472</v>
      </c>
      <c r="AC22" s="408">
        <f>'FT Users'!Z26</f>
        <v>-53939.861830495742</v>
      </c>
      <c r="AD22" s="364">
        <f t="shared" si="0"/>
        <v>-1113392.6592949387</v>
      </c>
    </row>
    <row r="23" spans="1:33" s="53" customFormat="1" ht="12">
      <c r="A23" s="58"/>
      <c r="B23" s="70"/>
      <c r="C23" s="78" t="s">
        <v>508</v>
      </c>
      <c r="D23" s="228"/>
      <c r="E23" s="235"/>
      <c r="F23" s="299">
        <f>'FT Users'!C27</f>
        <v>0</v>
      </c>
      <c r="G23" s="299">
        <f>'FT Users'!D27</f>
        <v>-145632.74179570304</v>
      </c>
      <c r="H23" s="299">
        <f>'FT Users'!E27</f>
        <v>-294518.65061622881</v>
      </c>
      <c r="I23" s="299">
        <f>'FT Users'!F27</f>
        <v>-297800.02742654196</v>
      </c>
      <c r="J23" s="299">
        <f>'FT Users'!G27</f>
        <v>-301113.47312100045</v>
      </c>
      <c r="K23" s="299">
        <f>'FT Users'!H27</f>
        <v>-304463.37472295581</v>
      </c>
      <c r="L23" s="299">
        <f>'FT Users'!I27</f>
        <v>-307854.71940055327</v>
      </c>
      <c r="M23" s="299">
        <f>'FT Users'!J27</f>
        <v>-311293.17656654073</v>
      </c>
      <c r="N23" s="299">
        <f>'FT Users'!K27</f>
        <v>-314785.19120932987</v>
      </c>
      <c r="O23" s="299">
        <f>'FT Users'!L27</f>
        <v>-316238.68223090674</v>
      </c>
      <c r="P23" s="299">
        <f>'FT Users'!M27</f>
        <v>-317761.38634241291</v>
      </c>
      <c r="Q23" s="299">
        <f>'FT Users'!N27</f>
        <v>-319362.77189455082</v>
      </c>
      <c r="R23" s="299">
        <f>'FT Users'!O27</f>
        <v>-321053.60250839894</v>
      </c>
      <c r="S23" s="299">
        <f>'FT Users'!P27</f>
        <v>-322846.11426839908</v>
      </c>
      <c r="T23" s="299">
        <f>'FT Users'!Q27</f>
        <v>-324754.21715534502</v>
      </c>
      <c r="U23" s="299">
        <f>'FT Users'!R27</f>
        <v>-326793.72403540288</v>
      </c>
      <c r="V23" s="299">
        <f>'FT Users'!S27</f>
        <v>-328982.61097483028</v>
      </c>
      <c r="W23" s="299">
        <f>'FT Users'!T27</f>
        <v>-331341.31316574913</v>
      </c>
      <c r="X23" s="299">
        <f>'FT Users'!U27</f>
        <v>-333893.06133456336</v>
      </c>
      <c r="Y23" s="299">
        <f>'FT Users'!V27</f>
        <v>-336664.264171049</v>
      </c>
      <c r="Z23" s="299">
        <f>'FT Users'!W27</f>
        <v>-339684.94307374366</v>
      </c>
      <c r="AA23" s="299">
        <f>'FT Users'!X27</f>
        <v>-342989.22636850458</v>
      </c>
      <c r="AB23" s="299">
        <f>'FT Users'!Y27</f>
        <v>-346615.91113616654</v>
      </c>
      <c r="AC23" s="408">
        <f>'FT Users'!Z27</f>
        <v>-350609.10189822235</v>
      </c>
      <c r="AD23" s="364">
        <f t="shared" si="0"/>
        <v>-7237052.2854170986</v>
      </c>
    </row>
    <row r="24" spans="1:33" s="53" customFormat="1" ht="12">
      <c r="A24" s="58"/>
      <c r="B24" s="70"/>
      <c r="C24" s="54" t="s">
        <v>509</v>
      </c>
      <c r="D24" s="228"/>
      <c r="E24" s="235"/>
      <c r="F24" s="459">
        <f>'FT Users'!C28</f>
        <v>0</v>
      </c>
      <c r="G24" s="459">
        <f>'FT Users'!D28</f>
        <v>25663.82347149877</v>
      </c>
      <c r="H24" s="459">
        <f>'FT Users'!E28</f>
        <v>50731.23711393532</v>
      </c>
      <c r="I24" s="459">
        <f>'FT Users'!F28</f>
        <v>50165.869462293573</v>
      </c>
      <c r="J24" s="459">
        <f>'FT Users'!G28</f>
        <v>49630.171779418757</v>
      </c>
      <c r="K24" s="459">
        <f>'FT Users'!H28</f>
        <v>49122.972901526671</v>
      </c>
      <c r="L24" s="459">
        <f>'FT Users'!I28</f>
        <v>48643.293339642754</v>
      </c>
      <c r="M24" s="459">
        <f>'FT Users'!J28</f>
        <v>48190.338577712522</v>
      </c>
      <c r="N24" s="459">
        <f>'FT Users'!K28</f>
        <v>47763.494873166928</v>
      </c>
      <c r="O24" s="459">
        <f>'FT Users'!L28</f>
        <v>47958.628519471335</v>
      </c>
      <c r="P24" s="459">
        <f>'FT Users'!M28</f>
        <v>48164.046445953907</v>
      </c>
      <c r="Q24" s="459">
        <f>'FT Users'!N28</f>
        <v>48381.166719015688</v>
      </c>
      <c r="R24" s="459">
        <f>'FT Users'!O28</f>
        <v>48611.600526507187</v>
      </c>
      <c r="S24" s="459">
        <f>'FT Users'!P28</f>
        <v>48857.178482570409</v>
      </c>
      <c r="T24" s="459">
        <f>'FT Users'!Q28</f>
        <v>49119.980515491479</v>
      </c>
      <c r="U24" s="459">
        <f>'FT Users'!R28</f>
        <v>49402.369826618393</v>
      </c>
      <c r="V24" s="459">
        <f>'FT Users'!S28</f>
        <v>49707.031474879819</v>
      </c>
      <c r="W24" s="459">
        <f>'FT Users'!T28</f>
        <v>50037.016216977667</v>
      </c>
      <c r="X24" s="459">
        <f>'FT Users'!U28</f>
        <v>50395.79031915214</v>
      </c>
      <c r="Y24" s="459">
        <f>'FT Users'!V28</f>
        <v>50787.292153936323</v>
      </c>
      <c r="Z24" s="459">
        <f>'FT Users'!W28</f>
        <v>51215.996506118245</v>
      </c>
      <c r="AA24" s="459">
        <f>'FT Users'!X28</f>
        <v>51686.987638023318</v>
      </c>
      <c r="AB24" s="459">
        <f>'FT Users'!Y28</f>
        <v>52206.042307274576</v>
      </c>
      <c r="AC24" s="460">
        <f>'FT Users'!Z28</f>
        <v>52779.724092717246</v>
      </c>
      <c r="AD24" s="365">
        <f t="shared" si="0"/>
        <v>1119222.0532639031</v>
      </c>
    </row>
    <row r="25" spans="1:33" s="53" customFormat="1" ht="12">
      <c r="A25" s="58"/>
      <c r="B25" s="70"/>
      <c r="C25" s="66"/>
      <c r="D25" s="228"/>
      <c r="E25" s="235"/>
      <c r="H25" s="59"/>
      <c r="I25" s="59"/>
      <c r="J25" s="59"/>
      <c r="K25" s="59"/>
      <c r="L25" s="59"/>
      <c r="M25" s="59"/>
      <c r="N25" s="59"/>
      <c r="O25" s="59"/>
      <c r="P25" s="59"/>
      <c r="Q25" s="59"/>
      <c r="R25" s="59"/>
      <c r="S25" s="59"/>
      <c r="T25" s="59"/>
      <c r="U25" s="59"/>
      <c r="V25" s="59"/>
      <c r="W25" s="59"/>
      <c r="X25" s="59"/>
      <c r="Y25" s="59"/>
      <c r="AC25" s="283"/>
      <c r="AD25" s="361">
        <f t="shared" si="0"/>
        <v>0</v>
      </c>
    </row>
    <row r="26" spans="1:33" s="53" customFormat="1" ht="12">
      <c r="A26" s="58" t="s">
        <v>233</v>
      </c>
      <c r="B26" s="58"/>
      <c r="D26" s="228"/>
      <c r="E26" s="235"/>
      <c r="H26" s="59"/>
      <c r="I26" s="59"/>
      <c r="J26" s="59"/>
      <c r="K26" s="59"/>
      <c r="L26" s="59"/>
      <c r="M26" s="59"/>
      <c r="N26" s="59"/>
      <c r="O26" s="59"/>
      <c r="P26" s="59"/>
      <c r="Q26" s="59"/>
      <c r="R26" s="59"/>
      <c r="S26" s="59"/>
      <c r="T26" s="59"/>
      <c r="U26" s="59"/>
      <c r="V26" s="59"/>
      <c r="W26" s="59"/>
      <c r="X26" s="59"/>
      <c r="Y26" s="59"/>
      <c r="AC26" s="283"/>
      <c r="AD26" s="361">
        <f t="shared" si="0"/>
        <v>0</v>
      </c>
    </row>
    <row r="27" spans="1:33" s="53" customFormat="1" ht="12">
      <c r="A27" s="58"/>
      <c r="B27" s="5" t="s">
        <v>369</v>
      </c>
      <c r="D27" s="228"/>
      <c r="E27" s="235"/>
      <c r="H27" s="59"/>
      <c r="I27" s="59"/>
      <c r="J27" s="59"/>
      <c r="K27" s="59"/>
      <c r="L27" s="59"/>
      <c r="M27" s="59"/>
      <c r="N27" s="59"/>
      <c r="O27" s="59"/>
      <c r="P27" s="59"/>
      <c r="Q27" s="59"/>
      <c r="R27" s="59"/>
      <c r="S27" s="59"/>
      <c r="T27" s="59"/>
      <c r="U27" s="59"/>
      <c r="V27" s="59"/>
      <c r="W27" s="59"/>
      <c r="X27" s="59"/>
      <c r="Y27" s="59"/>
      <c r="AC27" s="283"/>
      <c r="AD27" s="361">
        <f t="shared" si="0"/>
        <v>0</v>
      </c>
    </row>
    <row r="28" spans="1:33" s="53" customFormat="1" ht="12">
      <c r="A28" s="58"/>
      <c r="B28" s="70" t="s">
        <v>370</v>
      </c>
      <c r="C28" s="70" t="s">
        <v>366</v>
      </c>
      <c r="D28" s="228"/>
      <c r="E28" s="235"/>
      <c r="F28" s="458">
        <f>'FT Users'!C18</f>
        <v>0</v>
      </c>
      <c r="G28" s="458">
        <f>'FT Users'!D18</f>
        <v>3140924.3564798255</v>
      </c>
      <c r="H28" s="458">
        <f>'FT Users'!E18</f>
        <v>0</v>
      </c>
      <c r="I28" s="458">
        <f>'FT Users'!F18</f>
        <v>0</v>
      </c>
      <c r="J28" s="458">
        <f>'FT Users'!G18</f>
        <v>0</v>
      </c>
      <c r="K28" s="458">
        <f>'FT Users'!H18</f>
        <v>0</v>
      </c>
      <c r="L28" s="458">
        <f>'FT Users'!I18</f>
        <v>0</v>
      </c>
      <c r="M28" s="458">
        <f>'FT Users'!J18</f>
        <v>0</v>
      </c>
      <c r="N28" s="458">
        <f>'FT Users'!K18</f>
        <v>0</v>
      </c>
      <c r="O28" s="458">
        <f>'FT Users'!L18</f>
        <v>0</v>
      </c>
      <c r="P28" s="458">
        <f>'FT Users'!M18</f>
        <v>0</v>
      </c>
      <c r="Q28" s="458">
        <f>'FT Users'!N18</f>
        <v>0</v>
      </c>
      <c r="R28" s="458">
        <f>'FT Users'!O18</f>
        <v>0</v>
      </c>
      <c r="S28" s="458">
        <f>'FT Users'!P18</f>
        <v>0</v>
      </c>
      <c r="T28" s="458">
        <f>'FT Users'!Q18</f>
        <v>0</v>
      </c>
      <c r="U28" s="458">
        <f>'FT Users'!R18</f>
        <v>0</v>
      </c>
      <c r="V28" s="458">
        <f>'FT Users'!S18</f>
        <v>0</v>
      </c>
      <c r="W28" s="458">
        <f>'FT Users'!T18</f>
        <v>0</v>
      </c>
      <c r="X28" s="458">
        <f>'FT Users'!U18</f>
        <v>0</v>
      </c>
      <c r="Y28" s="458">
        <f>'FT Users'!V18</f>
        <v>0</v>
      </c>
      <c r="Z28" s="458">
        <f>'FT Users'!W18</f>
        <v>0</v>
      </c>
      <c r="AA28" s="458">
        <f>'FT Users'!X18</f>
        <v>0</v>
      </c>
      <c r="AB28" s="458">
        <f>'FT Users'!Y18</f>
        <v>0</v>
      </c>
      <c r="AC28" s="461">
        <f>'FT Users'!Z18</f>
        <v>0</v>
      </c>
      <c r="AD28" s="366">
        <f t="shared" si="0"/>
        <v>3140924.3564798255</v>
      </c>
    </row>
    <row r="29" spans="1:33" s="53" customFormat="1" ht="12">
      <c r="A29" s="58"/>
      <c r="B29" s="70" t="s">
        <v>371</v>
      </c>
      <c r="C29" s="70" t="s">
        <v>530</v>
      </c>
      <c r="D29" s="228"/>
      <c r="E29" s="235"/>
      <c r="F29" s="458">
        <f>'FT Users'!C19</f>
        <v>0</v>
      </c>
      <c r="G29" s="458">
        <f>'FT Users'!D19</f>
        <v>-11202.518599669465</v>
      </c>
      <c r="H29" s="458">
        <f>'FT Users'!E19</f>
        <v>-22655.280816632985</v>
      </c>
      <c r="I29" s="458">
        <f>'FT Users'!F19</f>
        <v>-22907.694417426304</v>
      </c>
      <c r="J29" s="458">
        <f>'FT Users'!G19</f>
        <v>-23162.574855461575</v>
      </c>
      <c r="K29" s="458">
        <f>'FT Users'!H19</f>
        <v>-23420.259594073523</v>
      </c>
      <c r="L29" s="458">
        <f>'FT Users'!I19</f>
        <v>-23681.13226158102</v>
      </c>
      <c r="M29" s="458">
        <f>'FT Users'!J19</f>
        <v>-23945.628966656979</v>
      </c>
      <c r="N29" s="458">
        <f>'FT Users'!K19</f>
        <v>-24214.245477640761</v>
      </c>
      <c r="O29" s="458">
        <f>'FT Users'!L19</f>
        <v>-24326.052479300517</v>
      </c>
      <c r="P29" s="458">
        <f>'FT Users'!M19</f>
        <v>-24443.183564800991</v>
      </c>
      <c r="Q29" s="458">
        <f>'FT Users'!N19</f>
        <v>-24566.3670688116</v>
      </c>
      <c r="R29" s="458">
        <f>'FT Users'!O19</f>
        <v>-24696.430962184535</v>
      </c>
      <c r="S29" s="458">
        <f>'FT Users'!P19</f>
        <v>-24834.316482184546</v>
      </c>
      <c r="T29" s="458">
        <f>'FT Users'!Q19</f>
        <v>-24981.093627334234</v>
      </c>
      <c r="U29" s="458">
        <f>'FT Users'!R19</f>
        <v>-25137.978771954069</v>
      </c>
      <c r="V29" s="458">
        <f>'FT Users'!S19</f>
        <v>-25306.354690371561</v>
      </c>
      <c r="W29" s="458">
        <f>'FT Users'!T19</f>
        <v>-25487.793320442241</v>
      </c>
      <c r="X29" s="458">
        <f>'FT Users'!U19</f>
        <v>-25684.081641120258</v>
      </c>
      <c r="Y29" s="458">
        <f>'FT Users'!V19</f>
        <v>-25897.251090080692</v>
      </c>
      <c r="Z29" s="458">
        <f>'FT Users'!W19</f>
        <v>-26129.611005672588</v>
      </c>
      <c r="AA29" s="458">
        <f>'FT Users'!X19</f>
        <v>-26383.78664373112</v>
      </c>
      <c r="AB29" s="458">
        <f>'FT Users'!Y19</f>
        <v>-26662.762395089736</v>
      </c>
      <c r="AC29" s="461">
        <f>'FT Users'!Z19</f>
        <v>-26969.930915247871</v>
      </c>
      <c r="AD29" s="364">
        <f t="shared" si="0"/>
        <v>-556696.32964746933</v>
      </c>
    </row>
    <row r="30" spans="1:33" s="53" customFormat="1" ht="12">
      <c r="A30" s="58"/>
      <c r="B30" s="70"/>
      <c r="C30" s="70" t="s">
        <v>366</v>
      </c>
      <c r="D30" s="228"/>
      <c r="E30" s="235"/>
      <c r="F30" s="458">
        <f>'FT Users'!C20</f>
        <v>0</v>
      </c>
      <c r="G30" s="458">
        <f>'FT Users'!D20</f>
        <v>0</v>
      </c>
      <c r="H30" s="458">
        <f>'FT Users'!E20</f>
        <v>3151297.50888628</v>
      </c>
      <c r="I30" s="458">
        <f>'FT Users'!F20</f>
        <v>3184073.5285085733</v>
      </c>
      <c r="J30" s="458">
        <f>'FT Users'!G20</f>
        <v>3216847.0812936244</v>
      </c>
      <c r="K30" s="458">
        <f>'FT Users'!H20</f>
        <v>3249617.8297780999</v>
      </c>
      <c r="L30" s="458">
        <f>'FT Users'!I20</f>
        <v>3282385.3903336795</v>
      </c>
      <c r="M30" s="458">
        <f>'FT Users'!J20</f>
        <v>3315149.3268516907</v>
      </c>
      <c r="N30" s="458">
        <f>'FT Users'!K20</f>
        <v>3347909.1435637944</v>
      </c>
      <c r="O30" s="458">
        <f>'FT Users'!L20</f>
        <v>3358068.575867957</v>
      </c>
      <c r="P30" s="458">
        <f>'FT Users'!M20</f>
        <v>3368222.6840882804</v>
      </c>
      <c r="Q30" s="458">
        <f>'FT Users'!N20</f>
        <v>3378370.739890093</v>
      </c>
      <c r="R30" s="458">
        <f>'FT Users'!O20</f>
        <v>3388511.9153025434</v>
      </c>
      <c r="S30" s="458">
        <f>'FT Users'!P20</f>
        <v>3398645.2690883665</v>
      </c>
      <c r="T30" s="458">
        <f>'FT Users'!Q20</f>
        <v>3408769.7312490405</v>
      </c>
      <c r="U30" s="458">
        <f>'FT Users'!R20</f>
        <v>3418884.0854102438</v>
      </c>
      <c r="V30" s="458">
        <f>'FT Users'!S20</f>
        <v>3428986.9487976492</v>
      </c>
      <c r="W30" s="458">
        <f>'FT Users'!T20</f>
        <v>3439076.7494734023</v>
      </c>
      <c r="X30" s="458">
        <f>'FT Users'!U20</f>
        <v>3449151.700458548</v>
      </c>
      <c r="Y30" s="458">
        <f>'FT Users'!V20</f>
        <v>3459209.770315411</v>
      </c>
      <c r="Z30" s="458">
        <f>'FT Users'!W20</f>
        <v>3469248.6497056419</v>
      </c>
      <c r="AA30" s="458">
        <f>'FT Users'!X20</f>
        <v>3479265.7133734068</v>
      </c>
      <c r="AB30" s="458">
        <f>'FT Users'!Y20</f>
        <v>3489257.9769278714</v>
      </c>
      <c r="AC30" s="461">
        <f>'FT Users'!Z20</f>
        <v>3499222.0477135372</v>
      </c>
      <c r="AD30" s="366">
        <f t="shared" si="0"/>
        <v>74180172.366877735</v>
      </c>
    </row>
    <row r="31" spans="1:33" s="53" customFormat="1" ht="12">
      <c r="A31" s="58"/>
      <c r="B31" s="58"/>
      <c r="D31" s="228"/>
      <c r="E31" s="235"/>
      <c r="AC31" s="283"/>
      <c r="AD31" s="361">
        <f t="shared" si="0"/>
        <v>0</v>
      </c>
    </row>
    <row r="32" spans="1:33" s="53" customFormat="1" ht="12">
      <c r="A32" s="58"/>
      <c r="B32" s="58"/>
      <c r="D32" s="228"/>
      <c r="E32" s="235"/>
      <c r="H32" s="59"/>
      <c r="I32" s="59"/>
      <c r="J32" s="59"/>
      <c r="K32" s="59"/>
      <c r="L32" s="59"/>
      <c r="M32" s="59"/>
      <c r="N32" s="59"/>
      <c r="O32" s="59"/>
      <c r="P32" s="59"/>
      <c r="Q32" s="59"/>
      <c r="R32" s="59"/>
      <c r="S32" s="59"/>
      <c r="T32" s="59"/>
      <c r="U32" s="59"/>
      <c r="V32" s="59"/>
      <c r="W32" s="59"/>
      <c r="X32" s="59"/>
      <c r="Y32" s="59"/>
      <c r="AC32" s="283"/>
      <c r="AD32" s="361">
        <f t="shared" si="0"/>
        <v>0</v>
      </c>
    </row>
    <row r="33" spans="1:30" s="53" customFormat="1" ht="12">
      <c r="A33" s="58" t="s">
        <v>364</v>
      </c>
      <c r="B33" s="58"/>
      <c r="D33" s="228"/>
      <c r="E33" s="235"/>
      <c r="H33" s="59"/>
      <c r="I33" s="59"/>
      <c r="J33" s="59"/>
      <c r="K33" s="59"/>
      <c r="L33" s="59"/>
      <c r="M33" s="59"/>
      <c r="N33" s="59"/>
      <c r="O33" s="59"/>
      <c r="P33" s="59"/>
      <c r="Q33" s="59"/>
      <c r="R33" s="59"/>
      <c r="S33" s="59"/>
      <c r="T33" s="59"/>
      <c r="U33" s="59"/>
      <c r="V33" s="59"/>
      <c r="W33" s="59"/>
      <c r="X33" s="59"/>
      <c r="Y33" s="59"/>
      <c r="AC33" s="283"/>
      <c r="AD33" s="361">
        <f t="shared" si="0"/>
        <v>0</v>
      </c>
    </row>
    <row r="34" spans="1:30" s="53" customFormat="1" ht="12">
      <c r="A34" s="58"/>
      <c r="B34" s="58"/>
      <c r="C34" s="216" t="s">
        <v>365</v>
      </c>
      <c r="D34" s="228"/>
      <c r="E34" s="235"/>
      <c r="H34" s="59"/>
      <c r="I34" s="59"/>
      <c r="J34" s="59"/>
      <c r="K34" s="59"/>
      <c r="L34" s="59"/>
      <c r="M34" s="59"/>
      <c r="N34" s="59"/>
      <c r="O34" s="59"/>
      <c r="P34" s="59"/>
      <c r="Q34" s="59"/>
      <c r="R34" s="59"/>
      <c r="S34" s="59"/>
      <c r="T34" s="59"/>
      <c r="U34" s="59"/>
      <c r="V34" s="59"/>
      <c r="W34" s="59"/>
      <c r="X34" s="59"/>
      <c r="Y34" s="59"/>
      <c r="AC34" s="283"/>
      <c r="AD34" s="361">
        <f t="shared" si="0"/>
        <v>0</v>
      </c>
    </row>
    <row r="35" spans="1:30" s="53" customFormat="1" ht="12">
      <c r="A35" s="58"/>
      <c r="B35" s="58"/>
      <c r="D35" s="228"/>
      <c r="E35" s="235"/>
      <c r="H35" s="59"/>
      <c r="I35" s="59"/>
      <c r="J35" s="59"/>
      <c r="K35" s="59"/>
      <c r="L35" s="59"/>
      <c r="M35" s="59"/>
      <c r="N35" s="59"/>
      <c r="O35" s="59"/>
      <c r="P35" s="59"/>
      <c r="Q35" s="59"/>
      <c r="R35" s="59"/>
      <c r="S35" s="59"/>
      <c r="T35" s="59"/>
      <c r="U35" s="59"/>
      <c r="V35" s="59"/>
      <c r="W35" s="59"/>
      <c r="X35" s="59"/>
      <c r="Y35" s="59"/>
      <c r="AC35" s="283"/>
      <c r="AD35" s="361">
        <f t="shared" si="0"/>
        <v>0</v>
      </c>
    </row>
    <row r="36" spans="1:30" s="53" customFormat="1" ht="12">
      <c r="A36" s="58"/>
      <c r="B36" s="58"/>
      <c r="D36" s="228"/>
      <c r="E36" s="235"/>
      <c r="H36" s="59"/>
      <c r="I36" s="59"/>
      <c r="J36" s="59"/>
      <c r="K36" s="59"/>
      <c r="L36" s="59"/>
      <c r="M36" s="59"/>
      <c r="N36" s="59"/>
      <c r="O36" s="59"/>
      <c r="P36" s="59"/>
      <c r="Q36" s="59"/>
      <c r="R36" s="59"/>
      <c r="S36" s="59"/>
      <c r="T36" s="59"/>
      <c r="U36" s="59"/>
      <c r="V36" s="59"/>
      <c r="W36" s="59"/>
      <c r="X36" s="59"/>
      <c r="Y36" s="59"/>
      <c r="AC36" s="283"/>
      <c r="AD36" s="361">
        <f t="shared" si="0"/>
        <v>0</v>
      </c>
    </row>
    <row r="37" spans="1:30" s="53" customFormat="1" ht="12">
      <c r="A37" s="58"/>
      <c r="B37" s="58"/>
      <c r="C37" s="45"/>
      <c r="D37" s="229"/>
      <c r="E37" s="235"/>
      <c r="F37" s="59"/>
      <c r="G37" s="59"/>
      <c r="H37" s="59"/>
      <c r="I37" s="59"/>
      <c r="J37" s="59"/>
      <c r="K37" s="59"/>
      <c r="L37" s="59"/>
      <c r="M37" s="59"/>
      <c r="N37" s="59"/>
      <c r="O37" s="59"/>
      <c r="P37" s="59"/>
      <c r="Q37" s="59"/>
      <c r="R37" s="59"/>
      <c r="S37" s="59"/>
      <c r="T37" s="59"/>
      <c r="U37" s="59"/>
      <c r="V37" s="59"/>
      <c r="W37" s="59"/>
      <c r="X37" s="59"/>
      <c r="Y37" s="59"/>
      <c r="AC37" s="283"/>
      <c r="AD37" s="361">
        <f t="shared" si="0"/>
        <v>0</v>
      </c>
    </row>
    <row r="38" spans="1:30" s="53" customFormat="1" ht="12">
      <c r="A38" s="44" t="s">
        <v>362</v>
      </c>
      <c r="B38" s="44"/>
      <c r="C38" s="45"/>
      <c r="D38" s="229"/>
      <c r="E38" s="236"/>
      <c r="F38" s="45"/>
      <c r="G38" s="59"/>
      <c r="H38" s="59"/>
      <c r="I38" s="59"/>
      <c r="J38" s="59"/>
      <c r="K38" s="59"/>
      <c r="L38" s="59"/>
      <c r="M38" s="59"/>
      <c r="N38" s="59"/>
      <c r="O38" s="59"/>
      <c r="P38" s="59"/>
      <c r="Q38" s="59"/>
      <c r="R38" s="59"/>
      <c r="S38" s="59"/>
      <c r="T38" s="59"/>
      <c r="U38" s="59"/>
      <c r="V38" s="59"/>
      <c r="W38" s="59"/>
      <c r="X38" s="59"/>
      <c r="Y38" s="59"/>
      <c r="AC38" s="283"/>
      <c r="AD38" s="361">
        <f t="shared" si="0"/>
        <v>0</v>
      </c>
    </row>
    <row r="39" spans="1:30" s="53" customFormat="1" ht="12">
      <c r="A39" s="44"/>
      <c r="B39" s="44"/>
      <c r="C39" s="45"/>
      <c r="D39" s="229"/>
      <c r="E39" s="236"/>
      <c r="F39" s="45"/>
      <c r="G39" s="59"/>
      <c r="H39" s="59"/>
      <c r="I39" s="59"/>
      <c r="J39" s="59"/>
      <c r="K39" s="59"/>
      <c r="L39" s="59"/>
      <c r="M39" s="59"/>
      <c r="N39" s="59"/>
      <c r="O39" s="59"/>
      <c r="P39" s="59"/>
      <c r="Q39" s="59"/>
      <c r="R39" s="59"/>
      <c r="S39" s="59"/>
      <c r="T39" s="59"/>
      <c r="U39" s="59"/>
      <c r="V39" s="59"/>
      <c r="W39" s="59"/>
      <c r="X39" s="59"/>
      <c r="Y39" s="59"/>
      <c r="AC39" s="283"/>
      <c r="AD39" s="361">
        <f t="shared" si="0"/>
        <v>0</v>
      </c>
    </row>
    <row r="40" spans="1:30" s="53" customFormat="1" ht="12">
      <c r="A40" s="44"/>
      <c r="B40" s="5" t="s">
        <v>367</v>
      </c>
      <c r="C40" s="45"/>
      <c r="D40" s="229"/>
      <c r="E40" s="236"/>
      <c r="F40" s="45"/>
      <c r="G40" s="59"/>
      <c r="H40" s="59"/>
      <c r="I40" s="59"/>
      <c r="J40" s="59"/>
      <c r="K40" s="59"/>
      <c r="L40" s="59"/>
      <c r="M40" s="59"/>
      <c r="N40" s="59"/>
      <c r="O40" s="59"/>
      <c r="P40" s="59"/>
      <c r="Q40" s="59"/>
      <c r="R40" s="59"/>
      <c r="S40" s="59"/>
      <c r="T40" s="59"/>
      <c r="U40" s="59"/>
      <c r="V40" s="59"/>
      <c r="W40" s="59"/>
      <c r="X40" s="59"/>
      <c r="Y40" s="59"/>
      <c r="AC40" s="283"/>
      <c r="AD40" s="361">
        <f t="shared" si="0"/>
        <v>0</v>
      </c>
    </row>
    <row r="41" spans="1:30" s="53" customFormat="1" ht="12">
      <c r="A41" s="44"/>
      <c r="B41" s="270" t="s">
        <v>463</v>
      </c>
      <c r="C41" s="70" t="s">
        <v>366</v>
      </c>
      <c r="D41" s="229"/>
      <c r="E41" s="236"/>
      <c r="F41" s="45"/>
      <c r="G41" s="59"/>
      <c r="H41" s="59"/>
      <c r="I41" s="59"/>
      <c r="J41" s="59"/>
      <c r="K41" s="59"/>
      <c r="L41" s="59"/>
      <c r="M41" s="59"/>
      <c r="N41" s="59"/>
      <c r="O41" s="59"/>
      <c r="P41" s="59"/>
      <c r="Q41" s="59"/>
      <c r="R41" s="59"/>
      <c r="S41" s="59"/>
      <c r="T41" s="59"/>
      <c r="U41" s="59"/>
      <c r="V41" s="59"/>
      <c r="W41" s="59"/>
      <c r="X41" s="59"/>
      <c r="Y41" s="59"/>
      <c r="AC41" s="283"/>
      <c r="AD41" s="361">
        <f t="shared" si="0"/>
        <v>0</v>
      </c>
    </row>
    <row r="42" spans="1:30" s="53" customFormat="1" ht="12">
      <c r="A42" s="44"/>
      <c r="C42" s="63" t="s">
        <v>131</v>
      </c>
      <c r="D42" s="229"/>
      <c r="E42" s="236"/>
      <c r="F42" s="45"/>
      <c r="G42" s="59"/>
      <c r="H42" s="59"/>
      <c r="I42" s="59"/>
      <c r="J42" s="59"/>
      <c r="K42" s="59"/>
      <c r="L42" s="59"/>
      <c r="M42" s="59"/>
      <c r="N42" s="59"/>
      <c r="O42" s="59"/>
      <c r="P42" s="59"/>
      <c r="Q42" s="59"/>
      <c r="R42" s="59"/>
      <c r="S42" s="59"/>
      <c r="T42" s="59"/>
      <c r="U42" s="59"/>
      <c r="V42" s="59"/>
      <c r="W42" s="59"/>
      <c r="X42" s="59"/>
      <c r="Y42" s="59"/>
      <c r="AC42" s="283"/>
      <c r="AD42" s="361">
        <f t="shared" si="0"/>
        <v>0</v>
      </c>
    </row>
    <row r="43" spans="1:30" s="53" customFormat="1" ht="12">
      <c r="A43" s="44"/>
      <c r="C43" s="245" t="s">
        <v>428</v>
      </c>
      <c r="D43" s="267">
        <f>50/3600</f>
        <v>1.3888888888888888E-2</v>
      </c>
      <c r="E43" s="236"/>
      <c r="F43" s="45"/>
      <c r="G43" s="59"/>
      <c r="H43" s="59"/>
      <c r="I43" s="59"/>
      <c r="J43" s="59"/>
      <c r="K43" s="59"/>
      <c r="L43" s="59"/>
      <c r="M43" s="59"/>
      <c r="N43" s="59"/>
      <c r="O43" s="59"/>
      <c r="P43" s="59"/>
      <c r="Q43" s="59"/>
      <c r="R43" s="59"/>
      <c r="S43" s="59"/>
      <c r="T43" s="59"/>
      <c r="U43" s="59"/>
      <c r="V43" s="59"/>
      <c r="W43" s="59"/>
      <c r="X43" s="59"/>
      <c r="Y43" s="59"/>
      <c r="AC43" s="283"/>
      <c r="AD43" s="361">
        <f t="shared" si="0"/>
        <v>0</v>
      </c>
    </row>
    <row r="44" spans="1:30" s="53" customFormat="1" ht="12">
      <c r="A44" s="44"/>
      <c r="C44" s="243" t="s">
        <v>419</v>
      </c>
      <c r="D44" s="273">
        <v>26.21</v>
      </c>
      <c r="E44" s="236"/>
      <c r="F44" s="45"/>
      <c r="G44" s="59"/>
      <c r="H44" s="59"/>
      <c r="I44" s="59"/>
      <c r="J44" s="59"/>
      <c r="K44" s="59"/>
      <c r="L44" s="59"/>
      <c r="M44" s="59"/>
      <c r="N44" s="59"/>
      <c r="O44" s="59"/>
      <c r="P44" s="59"/>
      <c r="Q44" s="59"/>
      <c r="R44" s="59"/>
      <c r="S44" s="59"/>
      <c r="T44" s="59"/>
      <c r="U44" s="59"/>
      <c r="V44" s="59"/>
      <c r="W44" s="59"/>
      <c r="X44" s="59"/>
      <c r="Y44" s="59"/>
      <c r="AC44" s="283"/>
      <c r="AD44" s="361">
        <f t="shared" si="0"/>
        <v>0</v>
      </c>
    </row>
    <row r="45" spans="1:30" s="53" customFormat="1" ht="12">
      <c r="A45" s="44"/>
      <c r="C45" s="62" t="s">
        <v>429</v>
      </c>
      <c r="D45" s="273"/>
      <c r="E45" s="236"/>
      <c r="F45" s="305">
        <v>0</v>
      </c>
      <c r="G45" s="338">
        <f t="shared" ref="G45:I45" si="1">$D$44*$D$43*G10</f>
        <v>135230.75952284105</v>
      </c>
      <c r="H45" s="338">
        <f t="shared" si="1"/>
        <v>273305.56086502306</v>
      </c>
      <c r="I45" s="338">
        <f t="shared" si="1"/>
        <v>276149.60268436396</v>
      </c>
      <c r="J45" s="338">
        <f t="shared" ref="J45:AC45" si="2">$D$44*$D$43*J10</f>
        <v>278993.64450370474</v>
      </c>
      <c r="K45" s="338">
        <f t="shared" si="2"/>
        <v>281837.68632304569</v>
      </c>
      <c r="L45" s="338">
        <f t="shared" si="2"/>
        <v>284681.72814238659</v>
      </c>
      <c r="M45" s="338">
        <f t="shared" si="2"/>
        <v>287525.76996172749</v>
      </c>
      <c r="N45" s="338">
        <f t="shared" si="2"/>
        <v>290369.81178106833</v>
      </c>
      <c r="O45" s="338">
        <f t="shared" si="2"/>
        <v>291254.25682649063</v>
      </c>
      <c r="P45" s="338">
        <f t="shared" si="2"/>
        <v>292138.70187191287</v>
      </c>
      <c r="Q45" s="338">
        <f t="shared" si="2"/>
        <v>293023.14691733511</v>
      </c>
      <c r="R45" s="338">
        <f t="shared" si="2"/>
        <v>293907.5919627574</v>
      </c>
      <c r="S45" s="338">
        <f t="shared" si="2"/>
        <v>294792.03700817964</v>
      </c>
      <c r="T45" s="338">
        <f t="shared" si="2"/>
        <v>295676.48205360194</v>
      </c>
      <c r="U45" s="338">
        <f t="shared" si="2"/>
        <v>296560.92709902418</v>
      </c>
      <c r="V45" s="338">
        <f t="shared" si="2"/>
        <v>297445.37214444648</v>
      </c>
      <c r="W45" s="338">
        <f t="shared" si="2"/>
        <v>298329.81718986871</v>
      </c>
      <c r="X45" s="338">
        <f t="shared" si="2"/>
        <v>299214.26223529101</v>
      </c>
      <c r="Y45" s="338">
        <f t="shared" si="2"/>
        <v>300098.70728071325</v>
      </c>
      <c r="Z45" s="338">
        <f t="shared" si="2"/>
        <v>300983.15232613549</v>
      </c>
      <c r="AA45" s="338">
        <f t="shared" si="2"/>
        <v>301867.59737155779</v>
      </c>
      <c r="AB45" s="338">
        <f t="shared" si="2"/>
        <v>302752.04241698008</v>
      </c>
      <c r="AC45" s="339">
        <f t="shared" si="2"/>
        <v>303636.48746240232</v>
      </c>
      <c r="AD45" s="367">
        <f t="shared" si="0"/>
        <v>6569775.1459508594</v>
      </c>
    </row>
    <row r="46" spans="1:30" s="53" customFormat="1" ht="12">
      <c r="A46" s="44"/>
      <c r="B46" s="44"/>
      <c r="D46" s="273"/>
      <c r="E46" s="236"/>
      <c r="G46" s="59"/>
      <c r="H46" s="59"/>
      <c r="I46" s="59"/>
      <c r="J46" s="59"/>
      <c r="K46" s="59"/>
      <c r="L46" s="59"/>
      <c r="M46" s="59"/>
      <c r="N46" s="59"/>
      <c r="O46" s="59"/>
      <c r="P46" s="59"/>
      <c r="Q46" s="59"/>
      <c r="R46" s="59"/>
      <c r="S46" s="59"/>
      <c r="T46" s="59"/>
      <c r="U46" s="59"/>
      <c r="V46" s="59"/>
      <c r="W46" s="59"/>
      <c r="X46" s="59"/>
      <c r="Y46" s="59"/>
      <c r="AC46" s="283"/>
      <c r="AD46" s="361">
        <f t="shared" si="0"/>
        <v>0</v>
      </c>
    </row>
    <row r="47" spans="1:30" s="53" customFormat="1" ht="12">
      <c r="A47" s="44"/>
      <c r="B47" s="270" t="s">
        <v>462</v>
      </c>
      <c r="C47" s="54" t="s">
        <v>425</v>
      </c>
      <c r="D47" s="273"/>
      <c r="E47" s="236"/>
      <c r="F47" s="45">
        <f>F11</f>
        <v>0</v>
      </c>
      <c r="G47" s="45">
        <f t="shared" ref="G47:AC47" si="3">G11</f>
        <v>22289.08359933893</v>
      </c>
      <c r="H47" s="45">
        <f t="shared" si="3"/>
        <v>45046.929528305969</v>
      </c>
      <c r="I47" s="104">
        <f t="shared" si="3"/>
        <v>45515.691857934078</v>
      </c>
      <c r="J47" s="104">
        <f t="shared" si="3"/>
        <v>45984.454187562165</v>
      </c>
      <c r="K47" s="104">
        <f t="shared" si="3"/>
        <v>46453.216517190282</v>
      </c>
      <c r="L47" s="104">
        <f t="shared" si="3"/>
        <v>46921.978846818391</v>
      </c>
      <c r="M47" s="104">
        <f t="shared" si="3"/>
        <v>47390.7411764465</v>
      </c>
      <c r="N47" s="104">
        <f t="shared" si="3"/>
        <v>47859.503506074594</v>
      </c>
      <c r="O47" s="104">
        <f t="shared" si="3"/>
        <v>48005.280026342596</v>
      </c>
      <c r="P47" s="104">
        <f t="shared" si="3"/>
        <v>48151.056546610591</v>
      </c>
      <c r="Q47" s="104">
        <f t="shared" si="3"/>
        <v>48296.833066878586</v>
      </c>
      <c r="R47" s="104">
        <f t="shared" si="3"/>
        <v>48442.609587146588</v>
      </c>
      <c r="S47" s="104">
        <f t="shared" si="3"/>
        <v>48588.386107414575</v>
      </c>
      <c r="T47" s="104">
        <f t="shared" si="3"/>
        <v>48734.162627682577</v>
      </c>
      <c r="U47" s="104">
        <f t="shared" si="3"/>
        <v>48879.939147950572</v>
      </c>
      <c r="V47" s="104">
        <f t="shared" si="3"/>
        <v>49025.715668218567</v>
      </c>
      <c r="W47" s="104">
        <f t="shared" si="3"/>
        <v>49171.492188486562</v>
      </c>
      <c r="X47" s="104">
        <f t="shared" si="3"/>
        <v>49317.268708754564</v>
      </c>
      <c r="Y47" s="104">
        <f t="shared" si="3"/>
        <v>49463.045229022551</v>
      </c>
      <c r="Z47" s="104">
        <f t="shared" si="3"/>
        <v>49608.821749290553</v>
      </c>
      <c r="AA47" s="104">
        <f t="shared" si="3"/>
        <v>49754.598269558548</v>
      </c>
      <c r="AB47" s="104">
        <f t="shared" si="3"/>
        <v>49900.37478982655</v>
      </c>
      <c r="AC47" s="287">
        <f t="shared" si="3"/>
        <v>50046.151310094545</v>
      </c>
      <c r="AD47" s="366">
        <f t="shared" si="0"/>
        <v>1082847.3342429495</v>
      </c>
    </row>
    <row r="48" spans="1:30" s="53" customFormat="1" ht="12">
      <c r="A48" s="44"/>
      <c r="B48" s="70"/>
      <c r="C48" s="63" t="s">
        <v>131</v>
      </c>
      <c r="D48" s="273"/>
      <c r="E48" s="236"/>
      <c r="F48" s="45"/>
      <c r="G48" s="45"/>
      <c r="H48" s="45"/>
      <c r="I48" s="45"/>
      <c r="J48" s="45"/>
      <c r="K48" s="45"/>
      <c r="L48" s="45"/>
      <c r="M48" s="45"/>
      <c r="N48" s="45"/>
      <c r="O48" s="45"/>
      <c r="P48" s="45"/>
      <c r="Q48" s="45"/>
      <c r="R48" s="45"/>
      <c r="S48" s="45"/>
      <c r="T48" s="45"/>
      <c r="U48" s="45"/>
      <c r="V48" s="45"/>
      <c r="W48" s="45"/>
      <c r="X48" s="45"/>
      <c r="Y48" s="45"/>
      <c r="Z48" s="45"/>
      <c r="AA48" s="45"/>
      <c r="AB48" s="45"/>
      <c r="AC48" s="283"/>
      <c r="AD48" s="361">
        <f t="shared" si="0"/>
        <v>0</v>
      </c>
    </row>
    <row r="49" spans="1:30" s="53" customFormat="1" ht="12">
      <c r="A49" s="44"/>
      <c r="B49" s="70"/>
      <c r="C49" s="243" t="s">
        <v>403</v>
      </c>
      <c r="D49" s="273"/>
      <c r="E49" s="236"/>
      <c r="F49" s="318">
        <f>'Mode Operating Assumptions'!D29</f>
        <v>0.39100279786137265</v>
      </c>
      <c r="G49" s="318">
        <f>'Mode Operating Assumptions'!E29</f>
        <v>0.39205714599476826</v>
      </c>
      <c r="H49" s="318">
        <f>'Mode Operating Assumptions'!F29</f>
        <v>0.39311874523828177</v>
      </c>
      <c r="I49" s="318">
        <f>'Mode Operating Assumptions'!G29</f>
        <v>0.39418767065254157</v>
      </c>
      <c r="J49" s="318">
        <f>'Mode Operating Assumptions'!H29</f>
        <v>0.39526399833776032</v>
      </c>
      <c r="K49" s="318">
        <f>'Mode Operating Assumptions'!I29</f>
        <v>0.39634780545179538</v>
      </c>
      <c r="L49" s="318">
        <f>'Mode Operating Assumptions'!J29</f>
        <v>0.39743917022858699</v>
      </c>
      <c r="M49" s="318">
        <f>'Mode Operating Assumptions'!K29</f>
        <v>0.39853817199698321</v>
      </c>
      <c r="N49" s="318">
        <f>'Mode Operating Assumptions'!L29</f>
        <v>0.39964489119996166</v>
      </c>
      <c r="O49" s="318">
        <f>'Mode Operating Assumptions'!M29</f>
        <v>0.40075940941425758</v>
      </c>
      <c r="P49" s="318">
        <f>'Mode Operating Assumptions'!N29</f>
        <v>0.40188180937040846</v>
      </c>
      <c r="Q49" s="318">
        <f>'Mode Operating Assumptions'!O29</f>
        <v>0.40301217497322528</v>
      </c>
      <c r="R49" s="318">
        <f>'Mode Operating Assumptions'!P29</f>
        <v>0.40415059132270104</v>
      </c>
      <c r="S49" s="318">
        <f>'Mode Operating Assumptions'!Q29</f>
        <v>0.40529714473536788</v>
      </c>
      <c r="T49" s="318">
        <f>'Mode Operating Assumptions'!R29</f>
        <v>0.40645192276611369</v>
      </c>
      <c r="U49" s="318">
        <f>'Mode Operating Assumptions'!S29</f>
        <v>0.40761501423047014</v>
      </c>
      <c r="V49" s="318">
        <f>'Mode Operating Assumptions'!T29</f>
        <v>0.40878650922738302</v>
      </c>
      <c r="W49" s="318">
        <f>'Mode Operating Assumptions'!U29</f>
        <v>0.40996649916247907</v>
      </c>
      <c r="X49" s="318">
        <f>'Mode Operating Assumptions'!V29</f>
        <v>0.41115507677183999</v>
      </c>
      <c r="Y49" s="318">
        <f>'Mode Operating Assumptions'!W29</f>
        <v>0.41235233614629774</v>
      </c>
      <c r="Z49" s="318">
        <f>'Mode Operating Assumptions'!X29</f>
        <v>0.41355837275626389</v>
      </c>
      <c r="AA49" s="318">
        <f>'Mode Operating Assumptions'!Y29</f>
        <v>0.41477328347710757</v>
      </c>
      <c r="AB49" s="318">
        <f>'Mode Operating Assumptions'!Z29</f>
        <v>0.415997166615095</v>
      </c>
      <c r="AC49" s="321">
        <f>'Mode Operating Assumptions'!AA29</f>
        <v>0.41723012193390652</v>
      </c>
      <c r="AD49" s="368">
        <f t="shared" si="0"/>
        <v>9.6905878298649686</v>
      </c>
    </row>
    <row r="50" spans="1:30" s="53" customFormat="1" ht="12">
      <c r="A50" s="44"/>
      <c r="B50" s="70"/>
      <c r="C50" s="243" t="s">
        <v>420</v>
      </c>
      <c r="D50" s="273">
        <f>'Mode Operating Assumptions'!C152</f>
        <v>0.38127571701364549</v>
      </c>
      <c r="E50" s="236"/>
      <c r="F50" s="45"/>
      <c r="G50" s="45"/>
      <c r="H50" s="45"/>
      <c r="I50" s="45"/>
      <c r="J50" s="45"/>
      <c r="K50" s="45"/>
      <c r="L50" s="45"/>
      <c r="M50" s="45"/>
      <c r="N50" s="45"/>
      <c r="O50" s="45"/>
      <c r="P50" s="45"/>
      <c r="Q50" s="45"/>
      <c r="R50" s="45"/>
      <c r="S50" s="45"/>
      <c r="T50" s="45"/>
      <c r="U50" s="45"/>
      <c r="V50" s="45"/>
      <c r="W50" s="45"/>
      <c r="X50" s="45"/>
      <c r="Y50" s="45"/>
      <c r="Z50" s="45"/>
      <c r="AA50" s="45"/>
      <c r="AB50" s="45"/>
      <c r="AC50" s="283"/>
      <c r="AD50" s="361">
        <f t="shared" si="0"/>
        <v>0</v>
      </c>
    </row>
    <row r="51" spans="1:30" s="53" customFormat="1" ht="12">
      <c r="A51" s="44"/>
      <c r="B51" s="70"/>
      <c r="C51" s="243" t="s">
        <v>421</v>
      </c>
      <c r="D51" s="273">
        <f>'Mode Operating Assumptions'!C52</f>
        <v>0.234375</v>
      </c>
      <c r="E51" s="236"/>
      <c r="F51" s="45"/>
      <c r="G51" s="45"/>
      <c r="H51" s="45"/>
      <c r="I51" s="45"/>
      <c r="J51" s="45"/>
      <c r="K51" s="45"/>
      <c r="L51" s="45"/>
      <c r="M51" s="45"/>
      <c r="N51" s="45"/>
      <c r="O51" s="45"/>
      <c r="P51" s="45"/>
      <c r="Q51" s="45"/>
      <c r="R51" s="45"/>
      <c r="S51" s="45"/>
      <c r="T51" s="45"/>
      <c r="U51" s="45"/>
      <c r="V51" s="45"/>
      <c r="W51" s="45"/>
      <c r="X51" s="45"/>
      <c r="Y51" s="45"/>
      <c r="Z51" s="45"/>
      <c r="AA51" s="45"/>
      <c r="AB51" s="45"/>
      <c r="AC51" s="283"/>
      <c r="AD51" s="361">
        <f t="shared" si="0"/>
        <v>0</v>
      </c>
    </row>
    <row r="52" spans="1:30" s="53" customFormat="1" ht="12">
      <c r="A52" s="44"/>
      <c r="C52" s="243" t="s">
        <v>400</v>
      </c>
      <c r="D52" s="273">
        <v>13.91</v>
      </c>
      <c r="E52" s="236"/>
      <c r="F52" s="45"/>
      <c r="G52" s="45"/>
      <c r="H52" s="45"/>
      <c r="I52" s="45"/>
      <c r="J52" s="45"/>
      <c r="K52" s="45"/>
      <c r="L52" s="45"/>
      <c r="M52" s="45"/>
      <c r="N52" s="45"/>
      <c r="O52" s="45"/>
      <c r="P52" s="45"/>
      <c r="Q52" s="45"/>
      <c r="R52" s="45"/>
      <c r="S52" s="45"/>
      <c r="T52" s="45"/>
      <c r="U52" s="45"/>
      <c r="V52" s="45"/>
      <c r="W52" s="45"/>
      <c r="X52" s="45"/>
      <c r="Y52" s="45"/>
      <c r="Z52" s="45"/>
      <c r="AA52" s="45"/>
      <c r="AB52" s="45"/>
      <c r="AC52" s="283"/>
      <c r="AD52" s="361">
        <f t="shared" si="0"/>
        <v>0</v>
      </c>
    </row>
    <row r="53" spans="1:30" s="53" customFormat="1" ht="12">
      <c r="A53" s="44"/>
      <c r="B53" s="70"/>
      <c r="C53" s="243" t="s">
        <v>401</v>
      </c>
      <c r="D53" s="273">
        <v>13.91</v>
      </c>
      <c r="E53" s="236"/>
      <c r="F53" s="45"/>
      <c r="G53" s="45"/>
      <c r="H53" s="45"/>
      <c r="I53" s="45"/>
      <c r="J53" s="45"/>
      <c r="K53" s="45"/>
      <c r="L53" s="45"/>
      <c r="M53" s="45"/>
      <c r="N53" s="45"/>
      <c r="O53" s="45"/>
      <c r="P53" s="45"/>
      <c r="Q53" s="45"/>
      <c r="R53" s="45"/>
      <c r="S53" s="45"/>
      <c r="T53" s="45"/>
      <c r="U53" s="45"/>
      <c r="V53" s="45"/>
      <c r="W53" s="45"/>
      <c r="X53" s="45"/>
      <c r="Y53" s="45"/>
      <c r="Z53" s="45"/>
      <c r="AA53" s="45"/>
      <c r="AB53" s="45"/>
      <c r="AC53" s="283"/>
      <c r="AD53" s="361">
        <f t="shared" si="0"/>
        <v>0</v>
      </c>
    </row>
    <row r="54" spans="1:30" s="53" customFormat="1" ht="12">
      <c r="A54" s="44"/>
      <c r="B54" s="70"/>
      <c r="C54" s="243" t="s">
        <v>419</v>
      </c>
      <c r="D54" s="273">
        <f>D44</f>
        <v>26.21</v>
      </c>
      <c r="E54" s="236"/>
      <c r="F54" s="45"/>
      <c r="G54" s="45"/>
      <c r="H54" s="45"/>
      <c r="I54" s="45"/>
      <c r="J54" s="45"/>
      <c r="K54" s="45"/>
      <c r="L54" s="45"/>
      <c r="M54" s="45"/>
      <c r="N54" s="45"/>
      <c r="O54" s="45"/>
      <c r="P54" s="45"/>
      <c r="Q54" s="45"/>
      <c r="R54" s="45"/>
      <c r="S54" s="45"/>
      <c r="T54" s="45"/>
      <c r="U54" s="45"/>
      <c r="V54" s="45"/>
      <c r="W54" s="45"/>
      <c r="X54" s="45"/>
      <c r="Y54" s="45"/>
      <c r="Z54" s="45"/>
      <c r="AA54" s="45"/>
      <c r="AB54" s="45"/>
      <c r="AC54" s="283"/>
      <c r="AD54" s="361">
        <f t="shared" si="0"/>
        <v>0</v>
      </c>
    </row>
    <row r="55" spans="1:30" s="53" customFormat="1" ht="12">
      <c r="A55" s="44"/>
      <c r="B55" s="70"/>
      <c r="C55" s="78" t="s">
        <v>416</v>
      </c>
      <c r="D55" s="273"/>
      <c r="E55" s="236"/>
      <c r="F55" s="275">
        <f>+(F49*$D$52)-($D$50*$D$53)-($D$51*$D$54)</f>
        <v>-6.0076650554081157</v>
      </c>
      <c r="G55" s="275">
        <f>+(G49*$D$52)-($D$50*$D$53)-($D$51*$D$54)</f>
        <v>-5.9929990728725828</v>
      </c>
      <c r="H55" s="275">
        <f t="shared" ref="H55:AC55" si="4">+(H49*$D$52)-($D$50*$D$53)-($D$51*$D$54)</f>
        <v>-5.9782322273953099</v>
      </c>
      <c r="I55" s="275">
        <f t="shared" si="4"/>
        <v>-5.9633634748829563</v>
      </c>
      <c r="J55" s="275">
        <f t="shared" si="4"/>
        <v>-5.9483917567815627</v>
      </c>
      <c r="K55" s="275">
        <f t="shared" si="4"/>
        <v>-5.9333159998253358</v>
      </c>
      <c r="L55" s="275">
        <f t="shared" si="4"/>
        <v>-5.9181351157801645</v>
      </c>
      <c r="M55" s="275">
        <f t="shared" si="4"/>
        <v>-5.9028480011817726</v>
      </c>
      <c r="N55" s="275">
        <f t="shared" si="4"/>
        <v>-5.8874535370683425</v>
      </c>
      <c r="O55" s="275">
        <f t="shared" si="4"/>
        <v>-5.8719505887074863</v>
      </c>
      <c r="P55" s="275">
        <f t="shared" si="4"/>
        <v>-5.8563380053174274</v>
      </c>
      <c r="Q55" s="275">
        <f t="shared" si="4"/>
        <v>-5.8406146197822455</v>
      </c>
      <c r="R55" s="275">
        <f t="shared" si="4"/>
        <v>-5.8247792483610379</v>
      </c>
      <c r="S55" s="275">
        <f t="shared" si="4"/>
        <v>-5.8088306903908418</v>
      </c>
      <c r="T55" s="275">
        <f t="shared" si="4"/>
        <v>-5.7927677279831675</v>
      </c>
      <c r="U55" s="275">
        <f t="shared" si="4"/>
        <v>-5.7765891257139694</v>
      </c>
      <c r="V55" s="275">
        <f t="shared" si="4"/>
        <v>-5.7602936303069114</v>
      </c>
      <c r="W55" s="275">
        <f t="shared" si="4"/>
        <v>-5.7438799703097256</v>
      </c>
      <c r="X55" s="275">
        <f t="shared" si="4"/>
        <v>-5.727346855763515</v>
      </c>
      <c r="Y55" s="275">
        <f t="shared" si="4"/>
        <v>-5.7106929778648077</v>
      </c>
      <c r="Z55" s="275">
        <f t="shared" si="4"/>
        <v>-5.6939170086201782</v>
      </c>
      <c r="AA55" s="275">
        <f t="shared" si="4"/>
        <v>-5.6770176004932429</v>
      </c>
      <c r="AB55" s="275">
        <f t="shared" si="4"/>
        <v>-5.6599933860438378</v>
      </c>
      <c r="AC55" s="288">
        <f t="shared" si="4"/>
        <v>-5.6428429775591695</v>
      </c>
      <c r="AD55" s="369">
        <f t="shared" si="0"/>
        <v>-139.92025865441371</v>
      </c>
    </row>
    <row r="56" spans="1:30" s="53" customFormat="1" ht="12">
      <c r="A56" s="44"/>
      <c r="B56" s="70"/>
      <c r="D56" s="273"/>
      <c r="E56" s="236"/>
      <c r="F56" s="275">
        <f>F55*F47</f>
        <v>0</v>
      </c>
      <c r="G56" s="275">
        <f t="shared" ref="G56:AC56" si="5">G55*G47</f>
        <v>-133578.45734601771</v>
      </c>
      <c r="H56" s="275">
        <f t="shared" si="5"/>
        <v>-269301.00585132412</v>
      </c>
      <c r="I56" s="275">
        <f t="shared" si="5"/>
        <v>-271426.61435963167</v>
      </c>
      <c r="J56" s="275">
        <f t="shared" si="5"/>
        <v>-273533.54822939419</v>
      </c>
      <c r="K56" s="275">
        <f t="shared" si="5"/>
        <v>-275621.61280479567</v>
      </c>
      <c r="L56" s="275">
        <f t="shared" si="5"/>
        <v>-277690.61071524996</v>
      </c>
      <c r="M56" s="275">
        <f t="shared" si="5"/>
        <v>-279740.34182790993</v>
      </c>
      <c r="N56" s="275">
        <f t="shared" si="5"/>
        <v>-281770.60319917358</v>
      </c>
      <c r="O56" s="275">
        <f t="shared" si="5"/>
        <v>-281884.63231175015</v>
      </c>
      <c r="P56" s="275">
        <f t="shared" si="5"/>
        <v>-281988.86245010415</v>
      </c>
      <c r="Q56" s="275">
        <f t="shared" si="5"/>
        <v>-282083.18929959368</v>
      </c>
      <c r="R56" s="275">
        <f t="shared" si="5"/>
        <v>-282167.50705966691</v>
      </c>
      <c r="S56" s="275">
        <f t="shared" si="5"/>
        <v>-282241.7084173098</v>
      </c>
      <c r="T56" s="275">
        <f t="shared" si="5"/>
        <v>-282305.684519923</v>
      </c>
      <c r="U56" s="275">
        <f t="shared" si="5"/>
        <v>-282359.32494761184</v>
      </c>
      <c r="V56" s="275">
        <f t="shared" si="5"/>
        <v>-282402.51768487715</v>
      </c>
      <c r="W56" s="275">
        <f t="shared" si="5"/>
        <v>-282435.14909168909</v>
      </c>
      <c r="X56" s="275">
        <f t="shared" si="5"/>
        <v>-282457.10387392982</v>
      </c>
      <c r="Y56" s="275">
        <f t="shared" si="5"/>
        <v>-282468.26505318849</v>
      </c>
      <c r="Z56" s="275">
        <f t="shared" si="5"/>
        <v>-282468.51393589209</v>
      </c>
      <c r="AA56" s="275">
        <f t="shared" si="5"/>
        <v>-282457.7300817545</v>
      </c>
      <c r="AB56" s="275">
        <f t="shared" si="5"/>
        <v>-282435.79127152695</v>
      </c>
      <c r="AC56" s="288">
        <f t="shared" si="5"/>
        <v>-282402.57347403065</v>
      </c>
      <c r="AD56" s="369">
        <f t="shared" ref="AD56:AD92" si="6">SUM(F56:AC56)</f>
        <v>-6297221.3478063457</v>
      </c>
    </row>
    <row r="57" spans="1:30" s="53" customFormat="1" ht="12">
      <c r="A57" s="44"/>
      <c r="B57" s="70"/>
      <c r="C57" s="62" t="s">
        <v>429</v>
      </c>
      <c r="D57" s="229"/>
      <c r="E57" s="236"/>
      <c r="F57" s="309">
        <f>F56</f>
        <v>0</v>
      </c>
      <c r="G57" s="309">
        <f t="shared" ref="G57:AC57" si="7">G56</f>
        <v>-133578.45734601771</v>
      </c>
      <c r="H57" s="309">
        <f t="shared" si="7"/>
        <v>-269301.00585132412</v>
      </c>
      <c r="I57" s="309">
        <f t="shared" si="7"/>
        <v>-271426.61435963167</v>
      </c>
      <c r="J57" s="309">
        <f t="shared" si="7"/>
        <v>-273533.54822939419</v>
      </c>
      <c r="K57" s="309">
        <f t="shared" si="7"/>
        <v>-275621.61280479567</v>
      </c>
      <c r="L57" s="309">
        <f t="shared" si="7"/>
        <v>-277690.61071524996</v>
      </c>
      <c r="M57" s="309">
        <f t="shared" si="7"/>
        <v>-279740.34182790993</v>
      </c>
      <c r="N57" s="309">
        <f t="shared" si="7"/>
        <v>-281770.60319917358</v>
      </c>
      <c r="O57" s="309">
        <f t="shared" si="7"/>
        <v>-281884.63231175015</v>
      </c>
      <c r="P57" s="309">
        <f t="shared" si="7"/>
        <v>-281988.86245010415</v>
      </c>
      <c r="Q57" s="309">
        <f t="shared" si="7"/>
        <v>-282083.18929959368</v>
      </c>
      <c r="R57" s="309">
        <f t="shared" si="7"/>
        <v>-282167.50705966691</v>
      </c>
      <c r="S57" s="309">
        <f t="shared" si="7"/>
        <v>-282241.7084173098</v>
      </c>
      <c r="T57" s="309">
        <f t="shared" si="7"/>
        <v>-282305.684519923</v>
      </c>
      <c r="U57" s="309">
        <f t="shared" si="7"/>
        <v>-282359.32494761184</v>
      </c>
      <c r="V57" s="309">
        <f t="shared" si="7"/>
        <v>-282402.51768487715</v>
      </c>
      <c r="W57" s="309">
        <f t="shared" si="7"/>
        <v>-282435.14909168909</v>
      </c>
      <c r="X57" s="309">
        <f t="shared" si="7"/>
        <v>-282457.10387392982</v>
      </c>
      <c r="Y57" s="309">
        <f t="shared" si="7"/>
        <v>-282468.26505318849</v>
      </c>
      <c r="Z57" s="309">
        <f t="shared" si="7"/>
        <v>-282468.51393589209</v>
      </c>
      <c r="AA57" s="309">
        <f t="shared" si="7"/>
        <v>-282457.7300817545</v>
      </c>
      <c r="AB57" s="309">
        <f t="shared" si="7"/>
        <v>-282435.79127152695</v>
      </c>
      <c r="AC57" s="340">
        <f t="shared" si="7"/>
        <v>-282402.57347403065</v>
      </c>
      <c r="AD57" s="370">
        <f t="shared" si="6"/>
        <v>-6297221.3478063457</v>
      </c>
    </row>
    <row r="58" spans="1:30" s="53" customFormat="1" ht="12">
      <c r="A58" s="44"/>
      <c r="B58" s="70"/>
      <c r="D58" s="229"/>
      <c r="E58" s="236"/>
      <c r="F58" s="252"/>
      <c r="G58" s="252"/>
      <c r="H58" s="252"/>
      <c r="I58" s="252"/>
      <c r="J58" s="252"/>
      <c r="K58" s="252"/>
      <c r="L58" s="252"/>
      <c r="M58" s="252"/>
      <c r="N58" s="252"/>
      <c r="O58" s="252"/>
      <c r="P58" s="252"/>
      <c r="Q58" s="252"/>
      <c r="R58" s="252"/>
      <c r="S58" s="252"/>
      <c r="T58" s="252"/>
      <c r="U58" s="252"/>
      <c r="V58" s="252"/>
      <c r="W58" s="252"/>
      <c r="X58" s="252"/>
      <c r="Y58" s="252"/>
      <c r="Z58" s="252"/>
      <c r="AA58" s="252"/>
      <c r="AB58" s="252"/>
      <c r="AC58" s="286"/>
      <c r="AD58" s="371">
        <f t="shared" si="6"/>
        <v>0</v>
      </c>
    </row>
    <row r="59" spans="1:30" s="53" customFormat="1" ht="12">
      <c r="A59" s="44"/>
      <c r="B59" s="70"/>
      <c r="C59" s="63" t="s">
        <v>149</v>
      </c>
      <c r="D59" s="229"/>
      <c r="E59" s="236"/>
      <c r="F59" s="252"/>
      <c r="G59" s="252"/>
      <c r="H59" s="252"/>
      <c r="I59" s="252"/>
      <c r="J59" s="252"/>
      <c r="K59" s="252"/>
      <c r="L59" s="252"/>
      <c r="M59" s="252"/>
      <c r="N59" s="252"/>
      <c r="O59" s="252"/>
      <c r="P59" s="252"/>
      <c r="Q59" s="252"/>
      <c r="R59" s="252"/>
      <c r="S59" s="252"/>
      <c r="T59" s="252"/>
      <c r="U59" s="252"/>
      <c r="V59" s="252"/>
      <c r="W59" s="252"/>
      <c r="X59" s="252"/>
      <c r="Y59" s="252"/>
      <c r="Z59" s="252"/>
      <c r="AA59" s="252"/>
      <c r="AB59" s="252"/>
      <c r="AC59" s="286"/>
      <c r="AD59" s="371">
        <f t="shared" si="6"/>
        <v>0</v>
      </c>
    </row>
    <row r="60" spans="1:30" s="53" customFormat="1" ht="12">
      <c r="A60" s="44"/>
      <c r="B60" s="70"/>
      <c r="C60" s="243" t="s">
        <v>488</v>
      </c>
      <c r="D60" s="273">
        <f>'Mode Operating Assumptions'!C33</f>
        <v>8.1905000000000001</v>
      </c>
      <c r="E60" s="236"/>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86"/>
      <c r="AD60" s="371">
        <f t="shared" si="6"/>
        <v>0</v>
      </c>
    </row>
    <row r="61" spans="1:30" s="53" customFormat="1" ht="12">
      <c r="A61" s="44"/>
      <c r="B61" s="70"/>
      <c r="C61" s="244" t="s">
        <v>477</v>
      </c>
      <c r="D61" s="273">
        <f>'Mode Operating Assumptions'!C155</f>
        <v>2.107407271835358</v>
      </c>
      <c r="E61" s="236"/>
      <c r="F61" s="252"/>
      <c r="G61" s="252"/>
      <c r="H61" s="252"/>
      <c r="I61" s="252"/>
      <c r="J61" s="252"/>
      <c r="K61" s="252"/>
      <c r="L61" s="252"/>
      <c r="M61" s="252"/>
      <c r="N61" s="252"/>
      <c r="O61" s="252"/>
      <c r="P61" s="252"/>
      <c r="Q61" s="252"/>
      <c r="R61" s="252"/>
      <c r="S61" s="252"/>
      <c r="T61" s="252"/>
      <c r="U61" s="252"/>
      <c r="V61" s="252"/>
      <c r="W61" s="252"/>
      <c r="X61" s="252"/>
      <c r="Y61" s="252"/>
      <c r="Z61" s="252"/>
      <c r="AA61" s="252"/>
      <c r="AB61" s="252"/>
      <c r="AC61" s="286"/>
      <c r="AD61" s="371">
        <f t="shared" si="6"/>
        <v>0</v>
      </c>
    </row>
    <row r="62" spans="1:30" s="53" customFormat="1" ht="12">
      <c r="A62" s="44"/>
      <c r="B62" s="70"/>
      <c r="C62" s="243" t="s">
        <v>489</v>
      </c>
      <c r="D62" s="273">
        <v>0.05</v>
      </c>
      <c r="E62" s="236"/>
      <c r="F62" s="252"/>
      <c r="G62" s="252"/>
      <c r="H62" s="252"/>
      <c r="I62" s="252"/>
      <c r="J62" s="252"/>
      <c r="K62" s="252"/>
      <c r="L62" s="252"/>
      <c r="M62" s="252"/>
      <c r="N62" s="252"/>
      <c r="O62" s="252"/>
      <c r="P62" s="252"/>
      <c r="Q62" s="252"/>
      <c r="R62" s="252"/>
      <c r="S62" s="252"/>
      <c r="T62" s="252"/>
      <c r="U62" s="252"/>
      <c r="V62" s="252"/>
      <c r="W62" s="252"/>
      <c r="X62" s="252"/>
      <c r="Y62" s="252"/>
      <c r="Z62" s="252"/>
      <c r="AA62" s="252"/>
      <c r="AB62" s="252"/>
      <c r="AC62" s="286"/>
      <c r="AD62" s="371">
        <f t="shared" si="6"/>
        <v>0</v>
      </c>
    </row>
    <row r="63" spans="1:30" s="53" customFormat="1" ht="12">
      <c r="A63" s="44"/>
      <c r="B63" s="70"/>
      <c r="C63" s="78" t="s">
        <v>490</v>
      </c>
      <c r="D63" s="273">
        <f>+D60-D61-D62</f>
        <v>6.0330927281646423</v>
      </c>
      <c r="E63" s="236"/>
      <c r="F63" s="275">
        <f t="shared" ref="F63:AC63" si="8">$D63*F47</f>
        <v>0</v>
      </c>
      <c r="G63" s="275">
        <f t="shared" si="8"/>
        <v>134472.10818062548</v>
      </c>
      <c r="H63" s="275">
        <f t="shared" si="8"/>
        <v>271772.30296336784</v>
      </c>
      <c r="I63" s="275">
        <f t="shared" si="8"/>
        <v>274600.38956548471</v>
      </c>
      <c r="J63" s="275">
        <f t="shared" si="8"/>
        <v>277428.47616760142</v>
      </c>
      <c r="K63" s="275">
        <f t="shared" si="8"/>
        <v>280256.56276971835</v>
      </c>
      <c r="L63" s="275">
        <f t="shared" si="8"/>
        <v>283084.64937183517</v>
      </c>
      <c r="M63" s="275">
        <f t="shared" si="8"/>
        <v>285912.73597395205</v>
      </c>
      <c r="N63" s="275">
        <f t="shared" si="8"/>
        <v>288740.82257606881</v>
      </c>
      <c r="O63" s="275">
        <f t="shared" si="8"/>
        <v>289620.30584043486</v>
      </c>
      <c r="P63" s="275">
        <f t="shared" si="8"/>
        <v>290499.78910480085</v>
      </c>
      <c r="Q63" s="275">
        <f t="shared" si="8"/>
        <v>291379.27236916684</v>
      </c>
      <c r="R63" s="275">
        <f t="shared" si="8"/>
        <v>292258.75563353288</v>
      </c>
      <c r="S63" s="275">
        <f t="shared" si="8"/>
        <v>293138.23889789882</v>
      </c>
      <c r="T63" s="275">
        <f t="shared" si="8"/>
        <v>294017.72216226481</v>
      </c>
      <c r="U63" s="275">
        <f t="shared" si="8"/>
        <v>294897.2054266308</v>
      </c>
      <c r="V63" s="275">
        <f t="shared" si="8"/>
        <v>295776.68869099679</v>
      </c>
      <c r="W63" s="275">
        <f t="shared" si="8"/>
        <v>296656.17195536278</v>
      </c>
      <c r="X63" s="275">
        <f t="shared" si="8"/>
        <v>297535.65521972883</v>
      </c>
      <c r="Y63" s="275">
        <f t="shared" si="8"/>
        <v>298415.13848409476</v>
      </c>
      <c r="Z63" s="275">
        <f t="shared" si="8"/>
        <v>299294.62174846081</v>
      </c>
      <c r="AA63" s="275">
        <f t="shared" si="8"/>
        <v>300174.1050128268</v>
      </c>
      <c r="AB63" s="275">
        <f t="shared" si="8"/>
        <v>301053.58827719279</v>
      </c>
      <c r="AC63" s="288">
        <f t="shared" si="8"/>
        <v>301933.07154155878</v>
      </c>
      <c r="AD63" s="369">
        <f t="shared" si="6"/>
        <v>6532918.3779336065</v>
      </c>
    </row>
    <row r="64" spans="1:30" s="53" customFormat="1" ht="12">
      <c r="A64" s="44"/>
      <c r="B64" s="70"/>
      <c r="C64" s="62" t="s">
        <v>430</v>
      </c>
      <c r="D64" s="229"/>
      <c r="E64" s="236"/>
      <c r="F64" s="309">
        <f>F63</f>
        <v>0</v>
      </c>
      <c r="G64" s="309">
        <f t="shared" ref="G64:AC64" si="9">G63</f>
        <v>134472.10818062548</v>
      </c>
      <c r="H64" s="309">
        <f t="shared" si="9"/>
        <v>271772.30296336784</v>
      </c>
      <c r="I64" s="309">
        <f t="shared" si="9"/>
        <v>274600.38956548471</v>
      </c>
      <c r="J64" s="309">
        <f t="shared" si="9"/>
        <v>277428.47616760142</v>
      </c>
      <c r="K64" s="309">
        <f t="shared" si="9"/>
        <v>280256.56276971835</v>
      </c>
      <c r="L64" s="309">
        <f t="shared" si="9"/>
        <v>283084.64937183517</v>
      </c>
      <c r="M64" s="309">
        <f t="shared" si="9"/>
        <v>285912.73597395205</v>
      </c>
      <c r="N64" s="309">
        <f t="shared" si="9"/>
        <v>288740.82257606881</v>
      </c>
      <c r="O64" s="309">
        <f t="shared" si="9"/>
        <v>289620.30584043486</v>
      </c>
      <c r="P64" s="309">
        <f t="shared" si="9"/>
        <v>290499.78910480085</v>
      </c>
      <c r="Q64" s="309">
        <f t="shared" si="9"/>
        <v>291379.27236916684</v>
      </c>
      <c r="R64" s="309">
        <f t="shared" si="9"/>
        <v>292258.75563353288</v>
      </c>
      <c r="S64" s="309">
        <f t="shared" si="9"/>
        <v>293138.23889789882</v>
      </c>
      <c r="T64" s="309">
        <f t="shared" si="9"/>
        <v>294017.72216226481</v>
      </c>
      <c r="U64" s="309">
        <f t="shared" si="9"/>
        <v>294897.2054266308</v>
      </c>
      <c r="V64" s="309">
        <f t="shared" si="9"/>
        <v>295776.68869099679</v>
      </c>
      <c r="W64" s="309">
        <f t="shared" si="9"/>
        <v>296656.17195536278</v>
      </c>
      <c r="X64" s="309">
        <f t="shared" si="9"/>
        <v>297535.65521972883</v>
      </c>
      <c r="Y64" s="309">
        <f t="shared" si="9"/>
        <v>298415.13848409476</v>
      </c>
      <c r="Z64" s="309">
        <f t="shared" si="9"/>
        <v>299294.62174846081</v>
      </c>
      <c r="AA64" s="309">
        <f t="shared" si="9"/>
        <v>300174.1050128268</v>
      </c>
      <c r="AB64" s="309">
        <f t="shared" si="9"/>
        <v>301053.58827719279</v>
      </c>
      <c r="AC64" s="340">
        <f t="shared" si="9"/>
        <v>301933.07154155878</v>
      </c>
      <c r="AD64" s="370">
        <f t="shared" si="6"/>
        <v>6532918.3779336065</v>
      </c>
    </row>
    <row r="65" spans="1:30" s="53" customFormat="1" ht="12">
      <c r="A65" s="44"/>
      <c r="B65" s="70"/>
      <c r="C65" s="110"/>
      <c r="D65" s="229"/>
      <c r="E65" s="236"/>
      <c r="F65" s="45"/>
      <c r="G65" s="62"/>
      <c r="H65" s="59"/>
      <c r="I65" s="59"/>
      <c r="J65" s="59"/>
      <c r="K65" s="59"/>
      <c r="L65" s="59"/>
      <c r="M65" s="59"/>
      <c r="N65" s="59"/>
      <c r="O65" s="59"/>
      <c r="P65" s="59"/>
      <c r="Q65" s="59"/>
      <c r="R65" s="59"/>
      <c r="S65" s="59"/>
      <c r="T65" s="59"/>
      <c r="U65" s="59"/>
      <c r="V65" s="59"/>
      <c r="W65" s="59"/>
      <c r="X65" s="59"/>
      <c r="Y65" s="59"/>
      <c r="AC65" s="283"/>
      <c r="AD65" s="361">
        <f t="shared" si="6"/>
        <v>0</v>
      </c>
    </row>
    <row r="66" spans="1:30" s="53" customFormat="1" ht="12">
      <c r="A66" s="44"/>
      <c r="B66" s="5" t="s">
        <v>277</v>
      </c>
      <c r="C66" s="55"/>
      <c r="D66" s="229"/>
      <c r="E66" s="236"/>
      <c r="F66" s="45"/>
      <c r="G66" s="59"/>
      <c r="H66" s="59"/>
      <c r="I66" s="59"/>
      <c r="J66" s="59"/>
      <c r="K66" s="59"/>
      <c r="L66" s="59"/>
      <c r="M66" s="59"/>
      <c r="N66" s="59"/>
      <c r="O66" s="59"/>
      <c r="P66" s="59"/>
      <c r="Q66" s="59"/>
      <c r="R66" s="59"/>
      <c r="S66" s="59"/>
      <c r="T66" s="59"/>
      <c r="U66" s="59"/>
      <c r="V66" s="59"/>
      <c r="W66" s="59"/>
      <c r="X66" s="59"/>
      <c r="Y66" s="59"/>
      <c r="AC66" s="283"/>
      <c r="AD66" s="361">
        <f t="shared" si="6"/>
        <v>0</v>
      </c>
    </row>
    <row r="67" spans="1:30" s="53" customFormat="1" ht="12">
      <c r="A67" s="44"/>
      <c r="B67" s="70" t="s">
        <v>463</v>
      </c>
      <c r="C67" s="70" t="s">
        <v>366</v>
      </c>
      <c r="D67" s="229"/>
      <c r="E67" s="236"/>
      <c r="F67" s="45"/>
      <c r="G67" s="59"/>
      <c r="H67" s="59"/>
      <c r="I67" s="59"/>
      <c r="J67" s="59"/>
      <c r="K67" s="59"/>
      <c r="L67" s="59"/>
      <c r="M67" s="59"/>
      <c r="N67" s="59"/>
      <c r="O67" s="59"/>
      <c r="P67" s="59"/>
      <c r="Q67" s="59"/>
      <c r="R67" s="59"/>
      <c r="S67" s="59"/>
      <c r="T67" s="59"/>
      <c r="U67" s="59"/>
      <c r="V67" s="59"/>
      <c r="W67" s="59"/>
      <c r="X67" s="59"/>
      <c r="Y67" s="59"/>
      <c r="AC67" s="283"/>
      <c r="AD67" s="361">
        <f t="shared" si="6"/>
        <v>0</v>
      </c>
    </row>
    <row r="68" spans="1:30" s="53" customFormat="1" ht="12">
      <c r="A68" s="44"/>
      <c r="C68" s="63" t="s">
        <v>131</v>
      </c>
      <c r="D68" s="229"/>
      <c r="E68" s="236"/>
      <c r="F68" s="45"/>
      <c r="G68" s="59"/>
      <c r="H68" s="59"/>
      <c r="I68" s="59"/>
      <c r="J68" s="59"/>
      <c r="K68" s="59"/>
      <c r="L68" s="59"/>
      <c r="M68" s="59"/>
      <c r="N68" s="59"/>
      <c r="O68" s="59"/>
      <c r="P68" s="59"/>
      <c r="Q68" s="59"/>
      <c r="R68" s="59"/>
      <c r="S68" s="59"/>
      <c r="T68" s="59"/>
      <c r="U68" s="59"/>
      <c r="V68" s="59"/>
      <c r="W68" s="59"/>
      <c r="X68" s="59"/>
      <c r="Y68" s="59"/>
      <c r="AC68" s="283"/>
      <c r="AD68" s="361">
        <f t="shared" si="6"/>
        <v>0</v>
      </c>
    </row>
    <row r="69" spans="1:30" s="53" customFormat="1" ht="12">
      <c r="A69" s="44"/>
      <c r="B69" s="70"/>
      <c r="C69" s="245" t="s">
        <v>625</v>
      </c>
      <c r="D69" s="267">
        <f>20/3600</f>
        <v>5.5555555555555558E-3</v>
      </c>
      <c r="E69" s="236"/>
      <c r="F69" s="45"/>
      <c r="G69" s="59"/>
      <c r="H69" s="59"/>
      <c r="I69" s="59"/>
      <c r="J69" s="59"/>
      <c r="K69" s="59"/>
      <c r="L69" s="59"/>
      <c r="M69" s="59"/>
      <c r="N69" s="59"/>
      <c r="O69" s="59"/>
      <c r="P69" s="59"/>
      <c r="Q69" s="59"/>
      <c r="R69" s="59"/>
      <c r="S69" s="59"/>
      <c r="T69" s="59"/>
      <c r="U69" s="59"/>
      <c r="V69" s="59"/>
      <c r="W69" s="59"/>
      <c r="X69" s="59"/>
      <c r="Y69" s="59"/>
      <c r="AC69" s="283"/>
      <c r="AD69" s="361">
        <f t="shared" si="6"/>
        <v>0</v>
      </c>
    </row>
    <row r="70" spans="1:30" s="53" customFormat="1" ht="12">
      <c r="A70" s="44"/>
      <c r="B70" s="70"/>
      <c r="C70" s="243" t="s">
        <v>438</v>
      </c>
      <c r="D70" s="242">
        <f>'Price Assumptions'!$B$3</f>
        <v>13.91</v>
      </c>
      <c r="E70" s="236"/>
      <c r="F70" s="45"/>
      <c r="G70" s="59"/>
      <c r="H70" s="59"/>
      <c r="I70" s="59"/>
      <c r="J70" s="59"/>
      <c r="K70" s="59"/>
      <c r="L70" s="59"/>
      <c r="M70" s="59"/>
      <c r="N70" s="59"/>
      <c r="O70" s="59"/>
      <c r="P70" s="59"/>
      <c r="Q70" s="59"/>
      <c r="R70" s="59"/>
      <c r="S70" s="59"/>
      <c r="T70" s="59"/>
      <c r="U70" s="59"/>
      <c r="V70" s="59"/>
      <c r="W70" s="59"/>
      <c r="X70" s="59"/>
      <c r="Y70" s="59"/>
      <c r="AC70" s="283"/>
      <c r="AD70" s="361">
        <f t="shared" si="6"/>
        <v>0</v>
      </c>
    </row>
    <row r="71" spans="1:30" s="53" customFormat="1" ht="12">
      <c r="A71" s="44"/>
      <c r="B71" s="70"/>
      <c r="C71" s="62" t="s">
        <v>429</v>
      </c>
      <c r="D71" s="229"/>
      <c r="E71" s="236"/>
      <c r="F71" s="305">
        <f>($D$69)*$D$70*F15</f>
        <v>0</v>
      </c>
      <c r="G71" s="305">
        <f t="shared" ref="G71:AC71" si="10">($D$69)*$D$70*G15</f>
        <v>179.21273066666669</v>
      </c>
      <c r="H71" s="305">
        <f t="shared" si="10"/>
        <v>407.45806444373335</v>
      </c>
      <c r="I71" s="305">
        <f t="shared" si="10"/>
        <v>463.19832765963611</v>
      </c>
      <c r="J71" s="305">
        <f t="shared" si="10"/>
        <v>526.56385888347438</v>
      </c>
      <c r="K71" s="305">
        <f t="shared" si="10"/>
        <v>598.5977947787336</v>
      </c>
      <c r="L71" s="305">
        <f t="shared" si="10"/>
        <v>680.48597310446439</v>
      </c>
      <c r="M71" s="305">
        <f t="shared" si="10"/>
        <v>773.5764542251552</v>
      </c>
      <c r="N71" s="305">
        <f t="shared" si="10"/>
        <v>879.40171316315639</v>
      </c>
      <c r="O71" s="305">
        <f t="shared" si="10"/>
        <v>999.70386752387628</v>
      </c>
      <c r="P71" s="305">
        <f t="shared" si="10"/>
        <v>1136.4633566011426</v>
      </c>
      <c r="Q71" s="305">
        <f t="shared" si="10"/>
        <v>1291.931543784179</v>
      </c>
      <c r="R71" s="305">
        <f t="shared" si="10"/>
        <v>1468.6677789738546</v>
      </c>
      <c r="S71" s="305">
        <f t="shared" si="10"/>
        <v>1669.5815311374779</v>
      </c>
      <c r="T71" s="305">
        <f t="shared" si="10"/>
        <v>1897.9802845970851</v>
      </c>
      <c r="U71" s="305">
        <f t="shared" si="10"/>
        <v>2157.6239875299666</v>
      </c>
      <c r="V71" s="305">
        <f t="shared" si="10"/>
        <v>2452.786949024066</v>
      </c>
      <c r="W71" s="305">
        <f t="shared" si="10"/>
        <v>2788.3282036505584</v>
      </c>
      <c r="X71" s="305">
        <f t="shared" si="10"/>
        <v>3169.7715019099555</v>
      </c>
      <c r="Y71" s="305">
        <f t="shared" si="10"/>
        <v>3603.3962433712368</v>
      </c>
      <c r="Z71" s="305">
        <f t="shared" si="10"/>
        <v>4096.3408494644227</v>
      </c>
      <c r="AA71" s="305">
        <f t="shared" si="10"/>
        <v>4656.7202776711556</v>
      </c>
      <c r="AB71" s="305">
        <f t="shared" si="10"/>
        <v>5293.7596116565692</v>
      </c>
      <c r="AC71" s="305">
        <f t="shared" si="10"/>
        <v>6017.945926531188</v>
      </c>
      <c r="AD71" s="372">
        <f t="shared" si="6"/>
        <v>47209.496830351753</v>
      </c>
    </row>
    <row r="72" spans="1:30" s="53" customFormat="1" ht="12">
      <c r="A72" s="44"/>
      <c r="B72" s="70"/>
      <c r="D72" s="229"/>
      <c r="E72" s="236"/>
      <c r="F72" s="45"/>
      <c r="G72" s="59"/>
      <c r="H72" s="59"/>
      <c r="I72" s="59"/>
      <c r="J72" s="59"/>
      <c r="K72" s="59"/>
      <c r="L72" s="59"/>
      <c r="M72" s="59"/>
      <c r="N72" s="59"/>
      <c r="O72" s="59"/>
      <c r="P72" s="59"/>
      <c r="Q72" s="59"/>
      <c r="R72" s="59"/>
      <c r="S72" s="59"/>
      <c r="T72" s="59"/>
      <c r="U72" s="59"/>
      <c r="V72" s="59"/>
      <c r="W72" s="59"/>
      <c r="X72" s="59"/>
      <c r="Y72" s="59"/>
      <c r="AC72" s="283"/>
      <c r="AD72" s="361">
        <f t="shared" si="6"/>
        <v>0</v>
      </c>
    </row>
    <row r="73" spans="1:30" s="53" customFormat="1" ht="12">
      <c r="A73" s="44"/>
      <c r="B73" s="70"/>
      <c r="D73" s="229"/>
      <c r="E73" s="236"/>
      <c r="F73" s="45"/>
      <c r="G73" s="59"/>
      <c r="H73" s="59"/>
      <c r="I73" s="59"/>
      <c r="J73" s="59"/>
      <c r="K73" s="59"/>
      <c r="L73" s="59"/>
      <c r="M73" s="59"/>
      <c r="N73" s="59"/>
      <c r="O73" s="59"/>
      <c r="P73" s="59"/>
      <c r="Q73" s="59"/>
      <c r="R73" s="59"/>
      <c r="S73" s="59"/>
      <c r="T73" s="59"/>
      <c r="U73" s="59"/>
      <c r="V73" s="59"/>
      <c r="W73" s="59"/>
      <c r="X73" s="59"/>
      <c r="Y73" s="59"/>
      <c r="AC73" s="283"/>
      <c r="AD73" s="361">
        <f t="shared" si="6"/>
        <v>0</v>
      </c>
    </row>
    <row r="74" spans="1:30" s="53" customFormat="1" ht="12">
      <c r="A74" s="44"/>
      <c r="B74" s="270" t="s">
        <v>462</v>
      </c>
      <c r="C74" s="54" t="s">
        <v>426</v>
      </c>
      <c r="D74" s="229"/>
      <c r="E74" s="236"/>
      <c r="F74" s="45">
        <f>F16</f>
        <v>0</v>
      </c>
      <c r="G74" s="45">
        <f t="shared" ref="G74:AC74" si="11">G16</f>
        <v>115.95360000000001</v>
      </c>
      <c r="H74" s="45">
        <f t="shared" si="11"/>
        <v>263.63210496000005</v>
      </c>
      <c r="I74" s="263">
        <f t="shared" si="11"/>
        <v>299.69697691852804</v>
      </c>
      <c r="J74" s="263">
        <f t="shared" si="11"/>
        <v>340.69552336098269</v>
      </c>
      <c r="K74" s="263">
        <f t="shared" si="11"/>
        <v>387.3026709567651</v>
      </c>
      <c r="L74" s="263">
        <f t="shared" si="11"/>
        <v>440.28567634365055</v>
      </c>
      <c r="M74" s="263">
        <f t="shared" si="11"/>
        <v>500.51675686746205</v>
      </c>
      <c r="N74" s="263">
        <f t="shared" si="11"/>
        <v>568.98744920693082</v>
      </c>
      <c r="O74" s="263">
        <f t="shared" si="11"/>
        <v>646.82493225843905</v>
      </c>
      <c r="P74" s="263">
        <f t="shared" si="11"/>
        <v>735.31058299139352</v>
      </c>
      <c r="Q74" s="263">
        <f t="shared" si="11"/>
        <v>835.90107074461616</v>
      </c>
      <c r="R74" s="263">
        <f t="shared" si="11"/>
        <v>950.25233722247958</v>
      </c>
      <c r="S74" s="263">
        <f t="shared" si="11"/>
        <v>1080.2468569545149</v>
      </c>
      <c r="T74" s="263">
        <f t="shared" si="11"/>
        <v>1228.0246269858926</v>
      </c>
      <c r="U74" s="263">
        <f t="shared" si="11"/>
        <v>1396.0183959575629</v>
      </c>
      <c r="V74" s="263">
        <f t="shared" si="11"/>
        <v>1586.9937125245576</v>
      </c>
      <c r="W74" s="263">
        <f t="shared" si="11"/>
        <v>1804.0944523979172</v>
      </c>
      <c r="X74" s="263">
        <f t="shared" si="11"/>
        <v>2050.8945734859526</v>
      </c>
      <c r="Y74" s="263">
        <f t="shared" si="11"/>
        <v>2331.4569511388304</v>
      </c>
      <c r="Z74" s="263">
        <f t="shared" si="11"/>
        <v>2650.400262054623</v>
      </c>
      <c r="AA74" s="263">
        <f t="shared" si="11"/>
        <v>3012.9750179036955</v>
      </c>
      <c r="AB74" s="263">
        <f t="shared" si="11"/>
        <v>3425.1500003529204</v>
      </c>
      <c r="AC74" s="285">
        <f t="shared" si="11"/>
        <v>3893.7105204012</v>
      </c>
      <c r="AD74" s="363">
        <f t="shared" si="6"/>
        <v>30545.325051988915</v>
      </c>
    </row>
    <row r="75" spans="1:30" s="53" customFormat="1" ht="12">
      <c r="A75" s="44"/>
      <c r="B75" s="70"/>
      <c r="C75" s="63" t="s">
        <v>131</v>
      </c>
      <c r="D75" s="229"/>
      <c r="E75" s="236"/>
      <c r="F75" s="45"/>
      <c r="G75" s="313"/>
      <c r="H75" s="313"/>
      <c r="I75" s="313"/>
      <c r="J75" s="313"/>
      <c r="K75" s="313"/>
      <c r="L75" s="313"/>
      <c r="M75" s="313"/>
      <c r="N75" s="313"/>
      <c r="O75" s="313"/>
      <c r="P75" s="313"/>
      <c r="Q75" s="313"/>
      <c r="R75" s="313"/>
      <c r="S75" s="313"/>
      <c r="T75" s="313"/>
      <c r="U75" s="313"/>
      <c r="V75" s="313"/>
      <c r="W75" s="313"/>
      <c r="X75" s="313"/>
      <c r="Y75" s="313"/>
      <c r="Z75" s="45"/>
      <c r="AA75" s="45"/>
      <c r="AB75" s="45"/>
      <c r="AC75" s="283"/>
      <c r="AD75" s="361">
        <f t="shared" si="6"/>
        <v>0</v>
      </c>
    </row>
    <row r="76" spans="1:30" s="53" customFormat="1" ht="12">
      <c r="A76" s="44"/>
      <c r="B76" s="70"/>
      <c r="C76" s="243" t="s">
        <v>403</v>
      </c>
      <c r="D76" s="229"/>
      <c r="E76" s="236"/>
      <c r="F76" s="318">
        <f>F49</f>
        <v>0.39100279786137265</v>
      </c>
      <c r="G76" s="318">
        <f t="shared" ref="G76:AC76" si="12">G49</f>
        <v>0.39205714599476826</v>
      </c>
      <c r="H76" s="318">
        <f t="shared" si="12"/>
        <v>0.39311874523828177</v>
      </c>
      <c r="I76" s="318">
        <f t="shared" si="12"/>
        <v>0.39418767065254157</v>
      </c>
      <c r="J76" s="318">
        <f t="shared" si="12"/>
        <v>0.39526399833776032</v>
      </c>
      <c r="K76" s="318">
        <f t="shared" si="12"/>
        <v>0.39634780545179538</v>
      </c>
      <c r="L76" s="318">
        <f t="shared" si="12"/>
        <v>0.39743917022858699</v>
      </c>
      <c r="M76" s="318">
        <f t="shared" si="12"/>
        <v>0.39853817199698321</v>
      </c>
      <c r="N76" s="318">
        <f t="shared" si="12"/>
        <v>0.39964489119996166</v>
      </c>
      <c r="O76" s="318">
        <f t="shared" si="12"/>
        <v>0.40075940941425758</v>
      </c>
      <c r="P76" s="318">
        <f t="shared" si="12"/>
        <v>0.40188180937040846</v>
      </c>
      <c r="Q76" s="318">
        <f t="shared" si="12"/>
        <v>0.40301217497322528</v>
      </c>
      <c r="R76" s="318">
        <f t="shared" si="12"/>
        <v>0.40415059132270104</v>
      </c>
      <c r="S76" s="318">
        <f t="shared" si="12"/>
        <v>0.40529714473536788</v>
      </c>
      <c r="T76" s="318">
        <f t="shared" si="12"/>
        <v>0.40645192276611369</v>
      </c>
      <c r="U76" s="318">
        <f t="shared" si="12"/>
        <v>0.40761501423047014</v>
      </c>
      <c r="V76" s="318">
        <f t="shared" si="12"/>
        <v>0.40878650922738302</v>
      </c>
      <c r="W76" s="318">
        <f t="shared" si="12"/>
        <v>0.40996649916247907</v>
      </c>
      <c r="X76" s="318">
        <f t="shared" si="12"/>
        <v>0.41115507677183999</v>
      </c>
      <c r="Y76" s="318">
        <f t="shared" si="12"/>
        <v>0.41235233614629774</v>
      </c>
      <c r="Z76" s="318">
        <f t="shared" si="12"/>
        <v>0.41355837275626389</v>
      </c>
      <c r="AA76" s="318">
        <f t="shared" si="12"/>
        <v>0.41477328347710757</v>
      </c>
      <c r="AB76" s="318">
        <f t="shared" si="12"/>
        <v>0.415997166615095</v>
      </c>
      <c r="AC76" s="321">
        <f t="shared" si="12"/>
        <v>0.41723012193390652</v>
      </c>
      <c r="AD76" s="368">
        <f t="shared" si="6"/>
        <v>9.6905878298649686</v>
      </c>
    </row>
    <row r="77" spans="1:30" s="53" customFormat="1" ht="12">
      <c r="A77" s="44"/>
      <c r="B77" s="70"/>
      <c r="C77" s="243" t="s">
        <v>420</v>
      </c>
      <c r="D77" s="268">
        <f>D50</f>
        <v>0.38127571701364549</v>
      </c>
      <c r="E77" s="236"/>
      <c r="F77" s="45"/>
      <c r="G77" s="313"/>
      <c r="H77" s="313"/>
      <c r="I77" s="313"/>
      <c r="J77" s="313"/>
      <c r="K77" s="313"/>
      <c r="L77" s="313"/>
      <c r="M77" s="313"/>
      <c r="N77" s="313"/>
      <c r="O77" s="313"/>
      <c r="P77" s="313"/>
      <c r="Q77" s="313"/>
      <c r="R77" s="313"/>
      <c r="S77" s="313"/>
      <c r="T77" s="313"/>
      <c r="U77" s="313"/>
      <c r="V77" s="313"/>
      <c r="W77" s="313"/>
      <c r="X77" s="313"/>
      <c r="Y77" s="313"/>
      <c r="Z77" s="45"/>
      <c r="AA77" s="45"/>
      <c r="AB77" s="45"/>
      <c r="AC77" s="283"/>
      <c r="AD77" s="361">
        <f t="shared" si="6"/>
        <v>0</v>
      </c>
    </row>
    <row r="78" spans="1:30" s="53" customFormat="1" ht="12">
      <c r="A78" s="44"/>
      <c r="B78" s="70"/>
      <c r="C78" s="243" t="s">
        <v>439</v>
      </c>
      <c r="D78" s="229">
        <f>'Mode Operating Assumptions'!C102</f>
        <v>0.17899999999999999</v>
      </c>
      <c r="E78" s="236"/>
      <c r="F78" s="45"/>
      <c r="G78" s="313"/>
      <c r="H78" s="313"/>
      <c r="I78" s="313"/>
      <c r="J78" s="313"/>
      <c r="K78" s="313"/>
      <c r="L78" s="313"/>
      <c r="M78" s="313"/>
      <c r="N78" s="313"/>
      <c r="O78" s="313"/>
      <c r="P78" s="313"/>
      <c r="Q78" s="313"/>
      <c r="R78" s="313"/>
      <c r="S78" s="313"/>
      <c r="T78" s="313"/>
      <c r="U78" s="313"/>
      <c r="V78" s="313"/>
      <c r="W78" s="313"/>
      <c r="X78" s="313"/>
      <c r="Y78" s="313"/>
      <c r="Z78" s="45"/>
      <c r="AA78" s="45"/>
      <c r="AB78" s="45"/>
      <c r="AC78" s="283"/>
      <c r="AD78" s="361">
        <f t="shared" si="6"/>
        <v>0</v>
      </c>
    </row>
    <row r="79" spans="1:30" s="53" customFormat="1" ht="12">
      <c r="A79" s="44"/>
      <c r="B79" s="70"/>
      <c r="C79" s="243" t="s">
        <v>400</v>
      </c>
      <c r="D79" s="229">
        <f>D52</f>
        <v>13.91</v>
      </c>
      <c r="E79" s="236"/>
      <c r="F79" s="45"/>
      <c r="G79" s="313"/>
      <c r="H79" s="313"/>
      <c r="I79" s="313"/>
      <c r="J79" s="313"/>
      <c r="K79" s="313"/>
      <c r="L79" s="313"/>
      <c r="M79" s="313"/>
      <c r="N79" s="313"/>
      <c r="O79" s="313"/>
      <c r="P79" s="313"/>
      <c r="Q79" s="313"/>
      <c r="R79" s="313"/>
      <c r="S79" s="313"/>
      <c r="T79" s="313"/>
      <c r="U79" s="313"/>
      <c r="V79" s="313"/>
      <c r="W79" s="313"/>
      <c r="X79" s="313"/>
      <c r="Y79" s="313"/>
      <c r="Z79" s="45"/>
      <c r="AA79" s="45"/>
      <c r="AB79" s="45"/>
      <c r="AC79" s="283"/>
      <c r="AD79" s="361">
        <f t="shared" si="6"/>
        <v>0</v>
      </c>
    </row>
    <row r="80" spans="1:30" s="53" customFormat="1" ht="12">
      <c r="A80" s="44"/>
      <c r="B80" s="70"/>
      <c r="C80" s="243" t="s">
        <v>401</v>
      </c>
      <c r="D80" s="229">
        <f t="shared" ref="D80" si="13">D53</f>
        <v>13.91</v>
      </c>
      <c r="E80" s="236"/>
      <c r="F80" s="45"/>
      <c r="G80" s="313"/>
      <c r="H80" s="313"/>
      <c r="I80" s="313"/>
      <c r="J80" s="313"/>
      <c r="K80" s="313"/>
      <c r="L80" s="313"/>
      <c r="M80" s="313"/>
      <c r="N80" s="313"/>
      <c r="O80" s="313"/>
      <c r="P80" s="313"/>
      <c r="Q80" s="313"/>
      <c r="R80" s="313"/>
      <c r="S80" s="313"/>
      <c r="T80" s="313"/>
      <c r="U80" s="313"/>
      <c r="V80" s="313"/>
      <c r="W80" s="313"/>
      <c r="X80" s="313"/>
      <c r="Y80" s="313"/>
      <c r="Z80" s="45"/>
      <c r="AA80" s="45"/>
      <c r="AB80" s="45"/>
      <c r="AC80" s="283"/>
      <c r="AD80" s="361">
        <f t="shared" si="6"/>
        <v>0</v>
      </c>
    </row>
    <row r="81" spans="1:30" s="53" customFormat="1" ht="12">
      <c r="A81" s="44"/>
      <c r="B81" s="70"/>
      <c r="C81" s="243" t="s">
        <v>438</v>
      </c>
      <c r="D81" s="229">
        <f>'Mode Operating Assumptions'!C103</f>
        <v>13.91</v>
      </c>
      <c r="E81" s="236"/>
      <c r="F81" s="45"/>
      <c r="G81" s="313"/>
      <c r="H81" s="313"/>
      <c r="I81" s="313"/>
      <c r="J81" s="313"/>
      <c r="K81" s="313"/>
      <c r="L81" s="313"/>
      <c r="M81" s="313"/>
      <c r="N81" s="313"/>
      <c r="O81" s="313"/>
      <c r="P81" s="313"/>
      <c r="Q81" s="313"/>
      <c r="R81" s="313"/>
      <c r="S81" s="313"/>
      <c r="T81" s="313"/>
      <c r="U81" s="313"/>
      <c r="V81" s="313"/>
      <c r="W81" s="313"/>
      <c r="X81" s="313"/>
      <c r="Y81" s="313"/>
      <c r="Z81" s="45"/>
      <c r="AA81" s="45"/>
      <c r="AB81" s="45"/>
      <c r="AC81" s="283"/>
      <c r="AD81" s="361">
        <f t="shared" si="6"/>
        <v>0</v>
      </c>
    </row>
    <row r="82" spans="1:30" s="53" customFormat="1" ht="12">
      <c r="A82" s="44"/>
      <c r="B82" s="70"/>
      <c r="C82" s="78" t="s">
        <v>440</v>
      </c>
      <c r="D82" s="229"/>
      <c r="E82" s="236"/>
      <c r="F82" s="275">
        <f>+(F76*$D$79)-($D$77*$D$80)-($D$78*$D$81)</f>
        <v>-2.3545863054081151</v>
      </c>
      <c r="G82" s="275">
        <f t="shared" ref="G82:AC82" si="14">+(G76*$D$79)-($D$77*$D$80)-($D$78*$D$81)</f>
        <v>-2.3399203228725822</v>
      </c>
      <c r="H82" s="275">
        <f t="shared" si="14"/>
        <v>-2.3251534773953093</v>
      </c>
      <c r="I82" s="275">
        <f t="shared" si="14"/>
        <v>-2.3102847248829557</v>
      </c>
      <c r="J82" s="275">
        <f t="shared" si="14"/>
        <v>-2.2953130067815621</v>
      </c>
      <c r="K82" s="275">
        <f t="shared" si="14"/>
        <v>-2.2802372498253352</v>
      </c>
      <c r="L82" s="275">
        <f t="shared" si="14"/>
        <v>-2.2650563657801639</v>
      </c>
      <c r="M82" s="275">
        <f t="shared" si="14"/>
        <v>-2.249769251181772</v>
      </c>
      <c r="N82" s="275">
        <f t="shared" si="14"/>
        <v>-2.2343747870683419</v>
      </c>
      <c r="O82" s="275">
        <f t="shared" si="14"/>
        <v>-2.2188718387074857</v>
      </c>
      <c r="P82" s="275">
        <f t="shared" si="14"/>
        <v>-2.2032592553174268</v>
      </c>
      <c r="Q82" s="275">
        <f t="shared" si="14"/>
        <v>-2.1875358697822449</v>
      </c>
      <c r="R82" s="275">
        <f t="shared" si="14"/>
        <v>-2.1717004983610373</v>
      </c>
      <c r="S82" s="275">
        <f t="shared" si="14"/>
        <v>-2.1557519403908412</v>
      </c>
      <c r="T82" s="275">
        <f t="shared" si="14"/>
        <v>-2.1396889779831669</v>
      </c>
      <c r="U82" s="275">
        <f t="shared" si="14"/>
        <v>-2.1235103757139688</v>
      </c>
      <c r="V82" s="275">
        <f t="shared" si="14"/>
        <v>-2.1072148803069108</v>
      </c>
      <c r="W82" s="275">
        <f t="shared" si="14"/>
        <v>-2.090801220309725</v>
      </c>
      <c r="X82" s="275">
        <f t="shared" si="14"/>
        <v>-2.0742681057635144</v>
      </c>
      <c r="Y82" s="275">
        <f t="shared" si="14"/>
        <v>-2.0576142278648071</v>
      </c>
      <c r="Z82" s="275">
        <f t="shared" si="14"/>
        <v>-2.0408382586201776</v>
      </c>
      <c r="AA82" s="275">
        <f t="shared" si="14"/>
        <v>-2.0239388504932423</v>
      </c>
      <c r="AB82" s="275">
        <f t="shared" si="14"/>
        <v>-2.0069146360438372</v>
      </c>
      <c r="AC82" s="288">
        <f t="shared" si="14"/>
        <v>-1.9897642275591689</v>
      </c>
      <c r="AD82" s="369">
        <f t="shared" si="6"/>
        <v>-52.2463686544137</v>
      </c>
    </row>
    <row r="83" spans="1:30">
      <c r="D83" s="229"/>
      <c r="E83" s="236"/>
      <c r="F83" s="275">
        <f>F82*F74</f>
        <v>0</v>
      </c>
      <c r="G83" s="275">
        <f t="shared" ref="G83:AC83" si="15">G82*G74</f>
        <v>-271.32218515023828</v>
      </c>
      <c r="H83" s="275">
        <f t="shared" si="15"/>
        <v>-612.98510560078932</v>
      </c>
      <c r="I83" s="275">
        <f t="shared" si="15"/>
        <v>-692.38534786847504</v>
      </c>
      <c r="J83" s="275">
        <f t="shared" si="15"/>
        <v>-782.00286612271509</v>
      </c>
      <c r="K83" s="275">
        <f t="shared" si="15"/>
        <v>-883.14197727246074</v>
      </c>
      <c r="L83" s="275">
        <f t="shared" si="15"/>
        <v>-997.27187396401064</v>
      </c>
      <c r="M83" s="275">
        <f t="shared" si="15"/>
        <v>-1126.0472093016392</v>
      </c>
      <c r="N83" s="275">
        <f t="shared" si="15"/>
        <v>-1271.331210666295</v>
      </c>
      <c r="O83" s="275">
        <f t="shared" si="15"/>
        <v>-1435.2216267621275</v>
      </c>
      <c r="P83" s="275">
        <f t="shared" si="15"/>
        <v>-1620.0798475086406</v>
      </c>
      <c r="Q83" s="275">
        <f t="shared" si="15"/>
        <v>-1828.5635758432338</v>
      </c>
      <c r="R83" s="275">
        <f t="shared" si="15"/>
        <v>-2063.6634743147993</v>
      </c>
      <c r="S83" s="275">
        <f t="shared" si="15"/>
        <v>-2328.744257980803</v>
      </c>
      <c r="T83" s="275">
        <f t="shared" si="15"/>
        <v>-2627.5907590536044</v>
      </c>
      <c r="U83" s="275">
        <f t="shared" si="15"/>
        <v>-2964.4595485034565</v>
      </c>
      <c r="V83" s="275">
        <f t="shared" si="15"/>
        <v>-3344.1367659852558</v>
      </c>
      <c r="W83" s="275">
        <f t="shared" si="15"/>
        <v>-3772.0028826275702</v>
      </c>
      <c r="X83" s="275">
        <f t="shared" si="15"/>
        <v>-4254.1052020653779</v>
      </c>
      <c r="Y83" s="275">
        <f t="shared" si="15"/>
        <v>-4797.2389943175622</v>
      </c>
      <c r="Z83" s="275">
        <f t="shared" si="15"/>
        <v>-5409.0382554580192</v>
      </c>
      <c r="AA83" s="275">
        <f t="shared" si="15"/>
        <v>-6098.0771943008613</v>
      </c>
      <c r="AB83" s="275">
        <f t="shared" si="15"/>
        <v>-6873.9836663538299</v>
      </c>
      <c r="AC83" s="288">
        <f t="shared" si="15"/>
        <v>-7747.5659059651034</v>
      </c>
      <c r="AD83" s="369">
        <f t="shared" si="6"/>
        <v>-63800.95973298687</v>
      </c>
    </row>
    <row r="84" spans="1:30" s="53" customFormat="1" ht="12">
      <c r="A84" s="44"/>
      <c r="B84" s="70"/>
      <c r="C84" s="62" t="s">
        <v>429</v>
      </c>
      <c r="D84" s="229"/>
      <c r="E84" s="236"/>
      <c r="F84" s="309">
        <f>F83</f>
        <v>0</v>
      </c>
      <c r="G84" s="309">
        <f t="shared" ref="G84:AC84" si="16">G83</f>
        <v>-271.32218515023828</v>
      </c>
      <c r="H84" s="309">
        <f t="shared" si="16"/>
        <v>-612.98510560078932</v>
      </c>
      <c r="I84" s="309">
        <f t="shared" si="16"/>
        <v>-692.38534786847504</v>
      </c>
      <c r="J84" s="309">
        <f t="shared" si="16"/>
        <v>-782.00286612271509</v>
      </c>
      <c r="K84" s="309">
        <f t="shared" si="16"/>
        <v>-883.14197727246074</v>
      </c>
      <c r="L84" s="309">
        <f t="shared" si="16"/>
        <v>-997.27187396401064</v>
      </c>
      <c r="M84" s="309">
        <f t="shared" si="16"/>
        <v>-1126.0472093016392</v>
      </c>
      <c r="N84" s="309">
        <f t="shared" si="16"/>
        <v>-1271.331210666295</v>
      </c>
      <c r="O84" s="309">
        <f t="shared" si="16"/>
        <v>-1435.2216267621275</v>
      </c>
      <c r="P84" s="309">
        <f t="shared" si="16"/>
        <v>-1620.0798475086406</v>
      </c>
      <c r="Q84" s="309">
        <f t="shared" si="16"/>
        <v>-1828.5635758432338</v>
      </c>
      <c r="R84" s="309">
        <f t="shared" si="16"/>
        <v>-2063.6634743147993</v>
      </c>
      <c r="S84" s="309">
        <f t="shared" si="16"/>
        <v>-2328.744257980803</v>
      </c>
      <c r="T84" s="309">
        <f t="shared" si="16"/>
        <v>-2627.5907590536044</v>
      </c>
      <c r="U84" s="309">
        <f t="shared" si="16"/>
        <v>-2964.4595485034565</v>
      </c>
      <c r="V84" s="309">
        <f t="shared" si="16"/>
        <v>-3344.1367659852558</v>
      </c>
      <c r="W84" s="309">
        <f t="shared" si="16"/>
        <v>-3772.0028826275702</v>
      </c>
      <c r="X84" s="309">
        <f t="shared" si="16"/>
        <v>-4254.1052020653779</v>
      </c>
      <c r="Y84" s="309">
        <f t="shared" si="16"/>
        <v>-4797.2389943175622</v>
      </c>
      <c r="Z84" s="309">
        <f t="shared" si="16"/>
        <v>-5409.0382554580192</v>
      </c>
      <c r="AA84" s="309">
        <f t="shared" si="16"/>
        <v>-6098.0771943008613</v>
      </c>
      <c r="AB84" s="309">
        <f t="shared" si="16"/>
        <v>-6873.9836663538299</v>
      </c>
      <c r="AC84" s="340">
        <f t="shared" si="16"/>
        <v>-7747.5659059651034</v>
      </c>
      <c r="AD84" s="370">
        <f t="shared" si="6"/>
        <v>-63800.95973298687</v>
      </c>
    </row>
    <row r="85" spans="1:30" s="53" customFormat="1" ht="12">
      <c r="A85" s="44"/>
      <c r="B85" s="70"/>
      <c r="C85" s="62"/>
      <c r="D85" s="229"/>
      <c r="E85" s="236"/>
      <c r="F85" s="45"/>
      <c r="G85" s="59"/>
      <c r="H85" s="59"/>
      <c r="I85" s="59"/>
      <c r="J85" s="59"/>
      <c r="K85" s="59"/>
      <c r="L85" s="59"/>
      <c r="M85" s="59"/>
      <c r="N85" s="59"/>
      <c r="O85" s="59"/>
      <c r="P85" s="59"/>
      <c r="Q85" s="59"/>
      <c r="R85" s="59"/>
      <c r="S85" s="59"/>
      <c r="T85" s="59"/>
      <c r="U85" s="59"/>
      <c r="V85" s="59"/>
      <c r="W85" s="59"/>
      <c r="X85" s="59"/>
      <c r="Y85" s="59"/>
      <c r="AC85" s="283"/>
      <c r="AD85" s="361">
        <f t="shared" si="6"/>
        <v>0</v>
      </c>
    </row>
    <row r="86" spans="1:30" s="53" customFormat="1" ht="12">
      <c r="A86" s="44"/>
      <c r="B86" s="70"/>
      <c r="C86" s="63" t="s">
        <v>149</v>
      </c>
      <c r="D86" s="229"/>
      <c r="E86" s="236"/>
      <c r="F86" s="45"/>
      <c r="G86" s="59"/>
      <c r="H86" s="59"/>
      <c r="I86" s="59"/>
      <c r="J86" s="59"/>
      <c r="K86" s="59"/>
      <c r="L86" s="59"/>
      <c r="M86" s="59"/>
      <c r="N86" s="59"/>
      <c r="O86" s="59"/>
      <c r="P86" s="59"/>
      <c r="Q86" s="59"/>
      <c r="R86" s="59"/>
      <c r="S86" s="59"/>
      <c r="T86" s="59"/>
      <c r="U86" s="59"/>
      <c r="V86" s="59"/>
      <c r="W86" s="59"/>
      <c r="X86" s="59"/>
      <c r="Y86" s="59"/>
      <c r="AC86" s="283"/>
      <c r="AD86" s="361">
        <f t="shared" si="6"/>
        <v>0</v>
      </c>
    </row>
    <row r="87" spans="1:30" s="53" customFormat="1" ht="12">
      <c r="A87" s="44"/>
      <c r="B87" s="70"/>
      <c r="C87" s="243" t="s">
        <v>446</v>
      </c>
      <c r="D87" s="273">
        <f>D60</f>
        <v>8.1905000000000001</v>
      </c>
      <c r="E87" s="236"/>
      <c r="F87" s="45"/>
      <c r="G87" s="59"/>
      <c r="H87" s="59"/>
      <c r="I87" s="59"/>
      <c r="J87" s="59"/>
      <c r="K87" s="59"/>
      <c r="L87" s="59"/>
      <c r="M87" s="59"/>
      <c r="N87" s="59"/>
      <c r="O87" s="59"/>
      <c r="P87" s="59"/>
      <c r="Q87" s="59"/>
      <c r="R87" s="59"/>
      <c r="S87" s="59"/>
      <c r="T87" s="59"/>
      <c r="U87" s="59"/>
      <c r="V87" s="59"/>
      <c r="W87" s="59"/>
      <c r="X87" s="59"/>
      <c r="Y87" s="59"/>
      <c r="AC87" s="283"/>
      <c r="AD87" s="361">
        <f t="shared" si="6"/>
        <v>0</v>
      </c>
    </row>
    <row r="88" spans="1:30" s="53" customFormat="1" ht="12">
      <c r="A88" s="44"/>
      <c r="B88" s="70"/>
      <c r="C88" s="244" t="s">
        <v>402</v>
      </c>
      <c r="D88" s="273">
        <f t="shared" ref="D88" si="17">D61</f>
        <v>2.107407271835358</v>
      </c>
      <c r="E88" s="236"/>
      <c r="F88" s="45"/>
      <c r="G88" s="59"/>
      <c r="H88" s="59"/>
      <c r="I88" s="59"/>
      <c r="J88" s="59"/>
      <c r="K88" s="59"/>
      <c r="L88" s="59"/>
      <c r="M88" s="59"/>
      <c r="N88" s="59"/>
      <c r="O88" s="59"/>
      <c r="P88" s="59"/>
      <c r="Q88" s="59"/>
      <c r="R88" s="59"/>
      <c r="S88" s="59"/>
      <c r="T88" s="59"/>
      <c r="U88" s="59"/>
      <c r="V88" s="59"/>
      <c r="W88" s="59"/>
      <c r="X88" s="59"/>
      <c r="Y88" s="59"/>
      <c r="AC88" s="283"/>
      <c r="AD88" s="361">
        <f t="shared" si="6"/>
        <v>0</v>
      </c>
    </row>
    <row r="89" spans="1:30" s="53" customFormat="1" ht="12">
      <c r="A89" s="44"/>
      <c r="B89" s="70"/>
      <c r="C89" s="244" t="s">
        <v>414</v>
      </c>
      <c r="D89" s="273">
        <v>0.1</v>
      </c>
      <c r="E89" s="236"/>
      <c r="F89" s="45"/>
      <c r="G89" s="59"/>
      <c r="H89" s="59"/>
      <c r="I89" s="59"/>
      <c r="J89" s="59"/>
      <c r="K89" s="59"/>
      <c r="L89" s="59"/>
      <c r="M89" s="59"/>
      <c r="N89" s="59"/>
      <c r="O89" s="59"/>
      <c r="P89" s="59"/>
      <c r="Q89" s="59"/>
      <c r="R89" s="59"/>
      <c r="S89" s="59"/>
      <c r="T89" s="59"/>
      <c r="U89" s="59"/>
      <c r="V89" s="59"/>
      <c r="W89" s="59"/>
      <c r="X89" s="59"/>
      <c r="Y89" s="59"/>
      <c r="AC89" s="283"/>
      <c r="AD89" s="361">
        <f t="shared" si="6"/>
        <v>0</v>
      </c>
    </row>
    <row r="90" spans="1:30" s="53" customFormat="1" ht="12">
      <c r="A90" s="44"/>
      <c r="B90" s="70"/>
      <c r="C90" s="78" t="s">
        <v>441</v>
      </c>
      <c r="D90" s="273">
        <f>+D87-D88-D89</f>
        <v>5.9830927281646424</v>
      </c>
      <c r="E90" s="236"/>
      <c r="F90" s="252">
        <f t="shared" ref="F90:AC90" si="18">$D90*F74</f>
        <v>0</v>
      </c>
      <c r="G90" s="252">
        <f t="shared" si="18"/>
        <v>693.7611409645117</v>
      </c>
      <c r="H90" s="252">
        <f t="shared" si="18"/>
        <v>1577.335330096914</v>
      </c>
      <c r="I90" s="252">
        <f t="shared" si="18"/>
        <v>1793.1148032541719</v>
      </c>
      <c r="J90" s="252">
        <f t="shared" si="18"/>
        <v>2038.4129083393425</v>
      </c>
      <c r="K90" s="252">
        <f t="shared" si="18"/>
        <v>2317.2677942001646</v>
      </c>
      <c r="L90" s="252">
        <f t="shared" si="18"/>
        <v>2634.2700284467469</v>
      </c>
      <c r="M90" s="252">
        <f t="shared" si="18"/>
        <v>2994.6381683382624</v>
      </c>
      <c r="N90" s="252">
        <f t="shared" si="18"/>
        <v>3404.3046697669365</v>
      </c>
      <c r="O90" s="252">
        <f t="shared" si="18"/>
        <v>3870.0135485910541</v>
      </c>
      <c r="P90" s="252">
        <f t="shared" si="18"/>
        <v>4399.4314020383108</v>
      </c>
      <c r="Q90" s="252">
        <f t="shared" si="18"/>
        <v>5001.2736178371515</v>
      </c>
      <c r="R90" s="252">
        <f t="shared" si="18"/>
        <v>5685.4478487572733</v>
      </c>
      <c r="S90" s="252">
        <f t="shared" si="18"/>
        <v>6463.2171144672684</v>
      </c>
      <c r="T90" s="252">
        <f t="shared" si="18"/>
        <v>7347.3852157263918</v>
      </c>
      <c r="U90" s="252">
        <f t="shared" si="18"/>
        <v>8352.5075132377624</v>
      </c>
      <c r="V90" s="252">
        <f t="shared" si="18"/>
        <v>9495.1305410486893</v>
      </c>
      <c r="W90" s="252">
        <f t="shared" si="18"/>
        <v>10794.064399064151</v>
      </c>
      <c r="X90" s="252">
        <f t="shared" si="18"/>
        <v>12270.692408856128</v>
      </c>
      <c r="Y90" s="252">
        <f t="shared" si="18"/>
        <v>13949.323130387644</v>
      </c>
      <c r="Z90" s="252">
        <f t="shared" si="18"/>
        <v>15857.590534624678</v>
      </c>
      <c r="AA90" s="252">
        <f t="shared" si="18"/>
        <v>18026.908919761336</v>
      </c>
      <c r="AB90" s="252">
        <f t="shared" si="18"/>
        <v>20492.990059984681</v>
      </c>
      <c r="AC90" s="286">
        <f t="shared" si="18"/>
        <v>23296.431100190584</v>
      </c>
      <c r="AD90" s="371">
        <f t="shared" si="6"/>
        <v>182755.51219798013</v>
      </c>
    </row>
    <row r="91" spans="1:30" s="53" customFormat="1" ht="12">
      <c r="A91" s="44"/>
      <c r="C91" s="62" t="s">
        <v>430</v>
      </c>
      <c r="D91" s="229"/>
      <c r="E91" s="236"/>
      <c r="F91" s="305">
        <f>F90</f>
        <v>0</v>
      </c>
      <c r="G91" s="305">
        <f t="shared" ref="G91:AC91" si="19">G90</f>
        <v>693.7611409645117</v>
      </c>
      <c r="H91" s="305">
        <f t="shared" si="19"/>
        <v>1577.335330096914</v>
      </c>
      <c r="I91" s="305">
        <f t="shared" si="19"/>
        <v>1793.1148032541719</v>
      </c>
      <c r="J91" s="305">
        <f t="shared" si="19"/>
        <v>2038.4129083393425</v>
      </c>
      <c r="K91" s="305">
        <f t="shared" si="19"/>
        <v>2317.2677942001646</v>
      </c>
      <c r="L91" s="305">
        <f t="shared" si="19"/>
        <v>2634.2700284467469</v>
      </c>
      <c r="M91" s="305">
        <f t="shared" si="19"/>
        <v>2994.6381683382624</v>
      </c>
      <c r="N91" s="305">
        <f t="shared" si="19"/>
        <v>3404.3046697669365</v>
      </c>
      <c r="O91" s="305">
        <f t="shared" si="19"/>
        <v>3870.0135485910541</v>
      </c>
      <c r="P91" s="305">
        <f t="shared" si="19"/>
        <v>4399.4314020383108</v>
      </c>
      <c r="Q91" s="305">
        <f t="shared" si="19"/>
        <v>5001.2736178371515</v>
      </c>
      <c r="R91" s="305">
        <f t="shared" si="19"/>
        <v>5685.4478487572733</v>
      </c>
      <c r="S91" s="305">
        <f t="shared" si="19"/>
        <v>6463.2171144672684</v>
      </c>
      <c r="T91" s="305">
        <f t="shared" si="19"/>
        <v>7347.3852157263918</v>
      </c>
      <c r="U91" s="305">
        <f t="shared" si="19"/>
        <v>8352.5075132377624</v>
      </c>
      <c r="V91" s="305">
        <f t="shared" si="19"/>
        <v>9495.1305410486893</v>
      </c>
      <c r="W91" s="305">
        <f t="shared" si="19"/>
        <v>10794.064399064151</v>
      </c>
      <c r="X91" s="305">
        <f t="shared" si="19"/>
        <v>12270.692408856128</v>
      </c>
      <c r="Y91" s="305">
        <f t="shared" si="19"/>
        <v>13949.323130387644</v>
      </c>
      <c r="Z91" s="305">
        <f t="shared" si="19"/>
        <v>15857.590534624678</v>
      </c>
      <c r="AA91" s="305">
        <f t="shared" si="19"/>
        <v>18026.908919761336</v>
      </c>
      <c r="AB91" s="305">
        <f t="shared" si="19"/>
        <v>20492.990059984681</v>
      </c>
      <c r="AC91" s="306">
        <f t="shared" si="19"/>
        <v>23296.431100190584</v>
      </c>
      <c r="AD91" s="371">
        <f t="shared" si="6"/>
        <v>182755.51219798013</v>
      </c>
    </row>
    <row r="92" spans="1:30" s="53" customFormat="1" ht="12">
      <c r="A92" s="44"/>
      <c r="B92" s="70"/>
      <c r="D92" s="229"/>
      <c r="E92" s="236"/>
      <c r="F92" s="45"/>
      <c r="G92" s="59"/>
      <c r="H92" s="59"/>
      <c r="I92" s="59"/>
      <c r="J92" s="59"/>
      <c r="K92" s="59"/>
      <c r="L92" s="59"/>
      <c r="M92" s="59"/>
      <c r="N92" s="59"/>
      <c r="O92" s="59"/>
      <c r="P92" s="59"/>
      <c r="Q92" s="59"/>
      <c r="R92" s="59"/>
      <c r="S92" s="59"/>
      <c r="T92" s="59"/>
      <c r="U92" s="59"/>
      <c r="V92" s="59"/>
      <c r="W92" s="59"/>
      <c r="X92" s="59"/>
      <c r="Y92" s="59"/>
      <c r="AC92" s="283"/>
      <c r="AD92" s="361">
        <f t="shared" si="6"/>
        <v>0</v>
      </c>
    </row>
    <row r="93" spans="1:30" s="53" customFormat="1" ht="12">
      <c r="A93" s="64"/>
      <c r="B93" s="64"/>
      <c r="D93" s="228"/>
      <c r="E93" s="236"/>
      <c r="F93" s="45"/>
      <c r="G93" s="57"/>
      <c r="AC93" s="283"/>
      <c r="AD93" s="361">
        <f t="shared" ref="AD93:AD106" si="20">SUM(F93:AC93)</f>
        <v>0</v>
      </c>
    </row>
    <row r="94" spans="1:30" s="53" customFormat="1" ht="12">
      <c r="A94" s="45"/>
      <c r="B94" s="45"/>
      <c r="C94" s="64" t="s">
        <v>94</v>
      </c>
      <c r="D94" s="228"/>
      <c r="E94" s="236"/>
      <c r="F94" s="45"/>
      <c r="G94" s="57"/>
      <c r="AC94" s="283"/>
      <c r="AD94" s="361">
        <f t="shared" si="20"/>
        <v>0</v>
      </c>
    </row>
    <row r="95" spans="1:30" s="53" customFormat="1" ht="12">
      <c r="A95" s="45"/>
      <c r="B95" s="45"/>
      <c r="C95" s="55" t="s">
        <v>500</v>
      </c>
      <c r="D95" s="279">
        <v>0.5</v>
      </c>
      <c r="E95" s="236"/>
      <c r="F95" s="45"/>
      <c r="G95" s="57"/>
      <c r="AC95" s="283"/>
      <c r="AD95" s="361">
        <f t="shared" si="20"/>
        <v>0</v>
      </c>
    </row>
    <row r="96" spans="1:30" s="53" customFormat="1" ht="12">
      <c r="A96" s="45"/>
      <c r="B96" s="45"/>
      <c r="C96" s="78"/>
      <c r="D96" s="228"/>
      <c r="E96" s="236"/>
      <c r="F96" s="45"/>
      <c r="G96" s="57"/>
      <c r="AC96" s="283"/>
      <c r="AD96" s="361">
        <f t="shared" si="20"/>
        <v>0</v>
      </c>
    </row>
    <row r="97" spans="1:30" s="53" customFormat="1" ht="12">
      <c r="A97" s="44"/>
      <c r="B97" s="5" t="s">
        <v>367</v>
      </c>
      <c r="C97" s="78" t="s">
        <v>418</v>
      </c>
      <c r="D97" s="273"/>
      <c r="E97" s="236"/>
      <c r="F97" s="45">
        <f>F12</f>
        <v>0</v>
      </c>
      <c r="G97" s="45">
        <f t="shared" ref="G97:AC97" si="21">G12</f>
        <v>14859.389066225955</v>
      </c>
      <c r="H97" s="45">
        <f t="shared" si="21"/>
        <v>30031.286352203984</v>
      </c>
      <c r="I97" s="45">
        <f t="shared" si="21"/>
        <v>30343.794571956052</v>
      </c>
      <c r="J97" s="45">
        <f t="shared" si="21"/>
        <v>30656.302791708113</v>
      </c>
      <c r="K97" s="45">
        <f t="shared" si="21"/>
        <v>30968.811011460191</v>
      </c>
      <c r="L97" s="45">
        <f t="shared" si="21"/>
        <v>31281.319231212259</v>
      </c>
      <c r="M97" s="45">
        <f t="shared" si="21"/>
        <v>31593.827450964334</v>
      </c>
      <c r="N97" s="45">
        <f t="shared" si="21"/>
        <v>31906.335670716398</v>
      </c>
      <c r="O97" s="45">
        <f t="shared" si="21"/>
        <v>32003.520017561732</v>
      </c>
      <c r="P97" s="45">
        <f t="shared" si="21"/>
        <v>32100.704364407062</v>
      </c>
      <c r="Q97" s="45">
        <f t="shared" si="21"/>
        <v>32197.888711252392</v>
      </c>
      <c r="R97" s="45">
        <f t="shared" si="21"/>
        <v>32295.073058097725</v>
      </c>
      <c r="S97" s="45">
        <f t="shared" si="21"/>
        <v>32392.257404943055</v>
      </c>
      <c r="T97" s="45">
        <f t="shared" si="21"/>
        <v>32489.441751788385</v>
      </c>
      <c r="U97" s="45">
        <f t="shared" si="21"/>
        <v>32586.626098633718</v>
      </c>
      <c r="V97" s="45">
        <f t="shared" si="21"/>
        <v>32683.810445479048</v>
      </c>
      <c r="W97" s="45">
        <f t="shared" si="21"/>
        <v>32780.994792324374</v>
      </c>
      <c r="X97" s="45">
        <f t="shared" si="21"/>
        <v>32878.179139169712</v>
      </c>
      <c r="Y97" s="45">
        <f t="shared" si="21"/>
        <v>32975.363486015041</v>
      </c>
      <c r="Z97" s="45">
        <f t="shared" si="21"/>
        <v>33072.547832860371</v>
      </c>
      <c r="AA97" s="45">
        <f t="shared" si="21"/>
        <v>33169.732179705701</v>
      </c>
      <c r="AB97" s="45">
        <f t="shared" si="21"/>
        <v>33266.916526551031</v>
      </c>
      <c r="AC97" s="283">
        <f t="shared" si="21"/>
        <v>33364.100873396368</v>
      </c>
      <c r="AD97" s="361">
        <f t="shared" si="20"/>
        <v>721898.22282863304</v>
      </c>
    </row>
    <row r="98" spans="1:30" s="53" customFormat="1" ht="12">
      <c r="A98" s="44"/>
      <c r="B98" s="5"/>
      <c r="C98" s="78" t="s">
        <v>417</v>
      </c>
      <c r="D98" s="273"/>
      <c r="E98" s="236"/>
      <c r="F98" s="275">
        <f>$D$95*F55</f>
        <v>-3.0038325277040578</v>
      </c>
      <c r="G98" s="275">
        <f t="shared" ref="G98:AC98" si="22">$D$95*G55</f>
        <v>-2.9964995364362914</v>
      </c>
      <c r="H98" s="275">
        <f t="shared" si="22"/>
        <v>-2.989116113697655</v>
      </c>
      <c r="I98" s="275">
        <f t="shared" si="22"/>
        <v>-2.9816817374414781</v>
      </c>
      <c r="J98" s="275">
        <f t="shared" si="22"/>
        <v>-2.9741958783907814</v>
      </c>
      <c r="K98" s="275">
        <f t="shared" si="22"/>
        <v>-2.9666579999126679</v>
      </c>
      <c r="L98" s="275">
        <f t="shared" si="22"/>
        <v>-2.9590675578900822</v>
      </c>
      <c r="M98" s="275">
        <f t="shared" si="22"/>
        <v>-2.9514240005908863</v>
      </c>
      <c r="N98" s="275">
        <f t="shared" si="22"/>
        <v>-2.9437267685341713</v>
      </c>
      <c r="O98" s="275">
        <f t="shared" si="22"/>
        <v>-2.9359752943537432</v>
      </c>
      <c r="P98" s="275">
        <f t="shared" si="22"/>
        <v>-2.9281690026587137</v>
      </c>
      <c r="Q98" s="275">
        <f t="shared" si="22"/>
        <v>-2.9203073098911227</v>
      </c>
      <c r="R98" s="275">
        <f t="shared" si="22"/>
        <v>-2.9123896241805189</v>
      </c>
      <c r="S98" s="275">
        <f t="shared" si="22"/>
        <v>-2.9044153451954209</v>
      </c>
      <c r="T98" s="275">
        <f t="shared" si="22"/>
        <v>-2.8963838639915838</v>
      </c>
      <c r="U98" s="275">
        <f t="shared" si="22"/>
        <v>-2.8882945628569847</v>
      </c>
      <c r="V98" s="275">
        <f t="shared" si="22"/>
        <v>-2.8801468151534557</v>
      </c>
      <c r="W98" s="275">
        <f t="shared" si="22"/>
        <v>-2.8719399851548628</v>
      </c>
      <c r="X98" s="275">
        <f t="shared" si="22"/>
        <v>-2.8636734278817575</v>
      </c>
      <c r="Y98" s="275">
        <f t="shared" si="22"/>
        <v>-2.8553464889324038</v>
      </c>
      <c r="Z98" s="275">
        <f t="shared" si="22"/>
        <v>-2.8469585043100891</v>
      </c>
      <c r="AA98" s="275">
        <f t="shared" si="22"/>
        <v>-2.8385088002466214</v>
      </c>
      <c r="AB98" s="275">
        <f t="shared" si="22"/>
        <v>-2.8299966930219189</v>
      </c>
      <c r="AC98" s="288">
        <f t="shared" si="22"/>
        <v>-2.8214214887795848</v>
      </c>
      <c r="AD98" s="369">
        <f t="shared" si="20"/>
        <v>-69.960129327206857</v>
      </c>
    </row>
    <row r="99" spans="1:30" s="53" customFormat="1" ht="12">
      <c r="A99" s="44"/>
      <c r="C99" s="319" t="s">
        <v>155</v>
      </c>
      <c r="D99" s="273"/>
      <c r="E99" s="236"/>
      <c r="F99" s="275">
        <f>F98*F97</f>
        <v>0</v>
      </c>
      <c r="G99" s="275">
        <f t="shared" ref="G99:AC99" si="23">G98*G97</f>
        <v>-44526.152448672568</v>
      </c>
      <c r="H99" s="275">
        <f t="shared" si="23"/>
        <v>-89767.001950441394</v>
      </c>
      <c r="I99" s="275">
        <f t="shared" si="23"/>
        <v>-90475.538119877208</v>
      </c>
      <c r="J99" s="275">
        <f t="shared" si="23"/>
        <v>-91177.849409798073</v>
      </c>
      <c r="K99" s="275">
        <f t="shared" si="23"/>
        <v>-91873.870934931896</v>
      </c>
      <c r="L99" s="275">
        <f t="shared" si="23"/>
        <v>-92563.536905083325</v>
      </c>
      <c r="M99" s="275">
        <f t="shared" si="23"/>
        <v>-93246.780609303314</v>
      </c>
      <c r="N99" s="275">
        <f t="shared" si="23"/>
        <v>-93923.534399724536</v>
      </c>
      <c r="O99" s="275">
        <f t="shared" si="23"/>
        <v>-93961.54410391672</v>
      </c>
      <c r="P99" s="275">
        <f t="shared" si="23"/>
        <v>-93996.28748336804</v>
      </c>
      <c r="Q99" s="275">
        <f t="shared" si="23"/>
        <v>-94027.729766531222</v>
      </c>
      <c r="R99" s="275">
        <f t="shared" si="23"/>
        <v>-94055.835686555642</v>
      </c>
      <c r="S99" s="275">
        <f t="shared" si="23"/>
        <v>-94080.569472436619</v>
      </c>
      <c r="T99" s="275">
        <f t="shared" si="23"/>
        <v>-94101.894839974339</v>
      </c>
      <c r="U99" s="275">
        <f t="shared" si="23"/>
        <v>-94119.774982537288</v>
      </c>
      <c r="V99" s="275">
        <f t="shared" si="23"/>
        <v>-94134.172561625732</v>
      </c>
      <c r="W99" s="275">
        <f t="shared" si="23"/>
        <v>-94145.049697229697</v>
      </c>
      <c r="X99" s="275">
        <f t="shared" si="23"/>
        <v>-94152.367957976618</v>
      </c>
      <c r="Y99" s="275">
        <f t="shared" si="23"/>
        <v>-94156.088351062848</v>
      </c>
      <c r="Z99" s="275">
        <f t="shared" si="23"/>
        <v>-94156.171311964048</v>
      </c>
      <c r="AA99" s="275">
        <f t="shared" si="23"/>
        <v>-94152.576693918178</v>
      </c>
      <c r="AB99" s="275">
        <f t="shared" si="23"/>
        <v>-94145.263757175635</v>
      </c>
      <c r="AC99" s="288">
        <f t="shared" si="23"/>
        <v>-94134.191158010231</v>
      </c>
      <c r="AD99" s="369">
        <f t="shared" si="20"/>
        <v>-2099073.7826021151</v>
      </c>
    </row>
    <row r="100" spans="1:30" s="53" customFormat="1" ht="12">
      <c r="A100" s="44"/>
      <c r="B100" s="70"/>
      <c r="C100" s="78" t="s">
        <v>491</v>
      </c>
      <c r="D100" s="273">
        <f>$D$95*(D63)</f>
        <v>3.0165463640823211</v>
      </c>
      <c r="E100" s="236"/>
      <c r="F100" s="275">
        <f>$D100*F97</f>
        <v>0</v>
      </c>
      <c r="G100" s="275">
        <f t="shared" ref="G100:AC100" si="24">$D100*G97</f>
        <v>44824.036060208498</v>
      </c>
      <c r="H100" s="275">
        <f t="shared" si="24"/>
        <v>90590.767654455965</v>
      </c>
      <c r="I100" s="275">
        <f t="shared" si="24"/>
        <v>91533.463188494905</v>
      </c>
      <c r="J100" s="275">
        <f t="shared" si="24"/>
        <v>92476.158722533815</v>
      </c>
      <c r="K100" s="275">
        <f t="shared" si="24"/>
        <v>93418.854256572784</v>
      </c>
      <c r="L100" s="275">
        <f t="shared" si="24"/>
        <v>94361.549790611723</v>
      </c>
      <c r="M100" s="275">
        <f t="shared" si="24"/>
        <v>95304.245324650692</v>
      </c>
      <c r="N100" s="275">
        <f t="shared" si="24"/>
        <v>96246.940858689617</v>
      </c>
      <c r="O100" s="275">
        <f t="shared" si="24"/>
        <v>96540.101946811628</v>
      </c>
      <c r="P100" s="275">
        <f t="shared" si="24"/>
        <v>96833.263034933625</v>
      </c>
      <c r="Q100" s="275">
        <f t="shared" si="24"/>
        <v>97126.424123055622</v>
      </c>
      <c r="R100" s="275">
        <f t="shared" si="24"/>
        <v>97419.585211177618</v>
      </c>
      <c r="S100" s="275">
        <f t="shared" si="24"/>
        <v>97712.746299299615</v>
      </c>
      <c r="T100" s="275">
        <f t="shared" si="24"/>
        <v>98005.907387421612</v>
      </c>
      <c r="U100" s="275">
        <f t="shared" si="24"/>
        <v>98299.068475543623</v>
      </c>
      <c r="V100" s="275">
        <f t="shared" si="24"/>
        <v>98592.229563665605</v>
      </c>
      <c r="W100" s="275">
        <f t="shared" si="24"/>
        <v>98885.390651787602</v>
      </c>
      <c r="X100" s="275">
        <f t="shared" si="24"/>
        <v>99178.551739909613</v>
      </c>
      <c r="Y100" s="275">
        <f t="shared" si="24"/>
        <v>99471.71282803161</v>
      </c>
      <c r="Z100" s="275">
        <f t="shared" si="24"/>
        <v>99764.873916153607</v>
      </c>
      <c r="AA100" s="275">
        <f t="shared" si="24"/>
        <v>100058.0350042756</v>
      </c>
      <c r="AB100" s="275">
        <f t="shared" si="24"/>
        <v>100351.19609239759</v>
      </c>
      <c r="AC100" s="288">
        <f t="shared" si="24"/>
        <v>100644.35718051961</v>
      </c>
      <c r="AD100" s="369">
        <f t="shared" si="20"/>
        <v>2177639.4593112022</v>
      </c>
    </row>
    <row r="101" spans="1:30" s="53" customFormat="1" ht="12">
      <c r="A101" s="45"/>
      <c r="B101" s="45"/>
      <c r="C101" s="78"/>
      <c r="D101" s="273"/>
      <c r="E101" s="236"/>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88"/>
      <c r="AD101" s="369">
        <f t="shared" si="20"/>
        <v>0</v>
      </c>
    </row>
    <row r="102" spans="1:30" s="53" customFormat="1" ht="12">
      <c r="A102" s="45"/>
      <c r="B102" s="5" t="s">
        <v>277</v>
      </c>
      <c r="C102" s="78"/>
      <c r="D102" s="273"/>
      <c r="E102" s="236"/>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88"/>
      <c r="AD102" s="369">
        <f t="shared" si="20"/>
        <v>0</v>
      </c>
    </row>
    <row r="103" spans="1:30" s="53" customFormat="1" ht="12">
      <c r="A103" s="44"/>
      <c r="B103" s="5"/>
      <c r="C103" s="78" t="s">
        <v>427</v>
      </c>
      <c r="D103" s="273"/>
      <c r="E103" s="236"/>
      <c r="F103" s="45">
        <f>F17</f>
        <v>0</v>
      </c>
      <c r="G103" s="45">
        <f t="shared" ref="G103:AC103" si="25">G17</f>
        <v>92.76288000000001</v>
      </c>
      <c r="H103" s="45">
        <f t="shared" si="25"/>
        <v>210.90568396800001</v>
      </c>
      <c r="I103" s="45">
        <f t="shared" si="25"/>
        <v>239.75758153482244</v>
      </c>
      <c r="J103" s="45">
        <f t="shared" si="25"/>
        <v>272.55641868878615</v>
      </c>
      <c r="K103" s="45">
        <f t="shared" si="25"/>
        <v>309.84213676541208</v>
      </c>
      <c r="L103" s="45">
        <f t="shared" si="25"/>
        <v>352.22854107492043</v>
      </c>
      <c r="M103" s="45">
        <f t="shared" si="25"/>
        <v>400.41340549396961</v>
      </c>
      <c r="N103" s="45">
        <f t="shared" si="25"/>
        <v>455.18995936554467</v>
      </c>
      <c r="O103" s="45">
        <f t="shared" si="25"/>
        <v>517.45994580675119</v>
      </c>
      <c r="P103" s="45">
        <f t="shared" si="25"/>
        <v>588.24846639311477</v>
      </c>
      <c r="Q103" s="45">
        <f t="shared" si="25"/>
        <v>668.72085659569291</v>
      </c>
      <c r="R103" s="45">
        <f t="shared" si="25"/>
        <v>760.20186977798369</v>
      </c>
      <c r="S103" s="45">
        <f t="shared" si="25"/>
        <v>864.19748556361185</v>
      </c>
      <c r="T103" s="45">
        <f t="shared" si="25"/>
        <v>982.41970158871413</v>
      </c>
      <c r="U103" s="45">
        <f t="shared" si="25"/>
        <v>1116.8147167660502</v>
      </c>
      <c r="V103" s="45">
        <f t="shared" si="25"/>
        <v>1269.5949700196461</v>
      </c>
      <c r="W103" s="45">
        <f t="shared" si="25"/>
        <v>1443.2755619183338</v>
      </c>
      <c r="X103" s="45">
        <f t="shared" si="25"/>
        <v>1640.7156587887621</v>
      </c>
      <c r="Y103" s="45">
        <f t="shared" si="25"/>
        <v>1865.1655609110644</v>
      </c>
      <c r="Z103" s="45">
        <f t="shared" si="25"/>
        <v>2120.320209643698</v>
      </c>
      <c r="AA103" s="45">
        <f t="shared" si="25"/>
        <v>2410.3800143229564</v>
      </c>
      <c r="AB103" s="45">
        <f t="shared" si="25"/>
        <v>2740.1200002823362</v>
      </c>
      <c r="AC103" s="283">
        <f t="shared" si="25"/>
        <v>3114.9684163209599</v>
      </c>
      <c r="AD103" s="361">
        <f t="shared" si="20"/>
        <v>24436.260041591129</v>
      </c>
    </row>
    <row r="104" spans="1:30" s="53" customFormat="1" ht="12">
      <c r="A104" s="44"/>
      <c r="B104" s="5"/>
      <c r="C104" s="78" t="s">
        <v>443</v>
      </c>
      <c r="D104" s="273"/>
      <c r="E104" s="236"/>
      <c r="F104" s="275">
        <f>F82*$D$95</f>
        <v>-1.1772931527040575</v>
      </c>
      <c r="G104" s="275">
        <f t="shared" ref="G104:AC104" si="26">G82*$D$95</f>
        <v>-1.1699601614362911</v>
      </c>
      <c r="H104" s="275">
        <f t="shared" si="26"/>
        <v>-1.1625767386976547</v>
      </c>
      <c r="I104" s="275">
        <f t="shared" si="26"/>
        <v>-1.1551423624414778</v>
      </c>
      <c r="J104" s="275">
        <f t="shared" si="26"/>
        <v>-1.1476565033907811</v>
      </c>
      <c r="K104" s="275">
        <f t="shared" si="26"/>
        <v>-1.1401186249126676</v>
      </c>
      <c r="L104" s="275">
        <f t="shared" si="26"/>
        <v>-1.1325281828900819</v>
      </c>
      <c r="M104" s="275">
        <f t="shared" si="26"/>
        <v>-1.124884625590886</v>
      </c>
      <c r="N104" s="275">
        <f t="shared" si="26"/>
        <v>-1.117187393534171</v>
      </c>
      <c r="O104" s="275">
        <f t="shared" si="26"/>
        <v>-1.1094359193537429</v>
      </c>
      <c r="P104" s="275">
        <f t="shared" si="26"/>
        <v>-1.1016296276587134</v>
      </c>
      <c r="Q104" s="275">
        <f t="shared" si="26"/>
        <v>-1.0937679348911225</v>
      </c>
      <c r="R104" s="275">
        <f t="shared" si="26"/>
        <v>-1.0858502491805186</v>
      </c>
      <c r="S104" s="275">
        <f t="shared" si="26"/>
        <v>-1.0778759701954206</v>
      </c>
      <c r="T104" s="275">
        <f t="shared" si="26"/>
        <v>-1.0698444889915835</v>
      </c>
      <c r="U104" s="275">
        <f t="shared" si="26"/>
        <v>-1.0617551878569844</v>
      </c>
      <c r="V104" s="275">
        <f t="shared" si="26"/>
        <v>-1.0536074401534554</v>
      </c>
      <c r="W104" s="275">
        <f t="shared" si="26"/>
        <v>-1.0454006101548625</v>
      </c>
      <c r="X104" s="275">
        <f t="shared" si="26"/>
        <v>-1.0371340528817572</v>
      </c>
      <c r="Y104" s="275">
        <f t="shared" si="26"/>
        <v>-1.0288071139324035</v>
      </c>
      <c r="Z104" s="275">
        <f t="shared" si="26"/>
        <v>-1.0204191293100888</v>
      </c>
      <c r="AA104" s="275">
        <f t="shared" si="26"/>
        <v>-1.0119694252466211</v>
      </c>
      <c r="AB104" s="275">
        <f t="shared" si="26"/>
        <v>-1.0034573180219186</v>
      </c>
      <c r="AC104" s="288">
        <f t="shared" si="26"/>
        <v>-0.99488211377958446</v>
      </c>
      <c r="AD104" s="369">
        <f t="shared" si="20"/>
        <v>-26.12318432720685</v>
      </c>
    </row>
    <row r="105" spans="1:30" s="53" customFormat="1" ht="12">
      <c r="A105" s="44"/>
      <c r="B105" s="5"/>
      <c r="C105" s="319" t="s">
        <v>155</v>
      </c>
      <c r="D105" s="273"/>
      <c r="E105" s="236"/>
      <c r="F105" s="275">
        <f>F104*F103</f>
        <v>0</v>
      </c>
      <c r="G105" s="275">
        <f t="shared" ref="G105:AC105" si="27">G104*G103</f>
        <v>-108.5288740600953</v>
      </c>
      <c r="H105" s="275">
        <f t="shared" si="27"/>
        <v>-245.19404224031567</v>
      </c>
      <c r="I105" s="275">
        <f t="shared" si="27"/>
        <v>-276.95413914739004</v>
      </c>
      <c r="J105" s="275">
        <f t="shared" si="27"/>
        <v>-312.80114644908605</v>
      </c>
      <c r="K105" s="275">
        <f t="shared" si="27"/>
        <v>-353.25679090898433</v>
      </c>
      <c r="L105" s="275">
        <f t="shared" si="27"/>
        <v>-398.9087495856042</v>
      </c>
      <c r="M105" s="275">
        <f t="shared" si="27"/>
        <v>-450.41888372065563</v>
      </c>
      <c r="N105" s="275">
        <f t="shared" si="27"/>
        <v>-508.53248426651805</v>
      </c>
      <c r="O105" s="275">
        <f t="shared" si="27"/>
        <v>-574.08865070485092</v>
      </c>
      <c r="P105" s="275">
        <f t="shared" si="27"/>
        <v>-648.03193900345616</v>
      </c>
      <c r="Q105" s="275">
        <f t="shared" si="27"/>
        <v>-731.42543033729351</v>
      </c>
      <c r="R105" s="275">
        <f t="shared" si="27"/>
        <v>-825.46538972591975</v>
      </c>
      <c r="S105" s="275">
        <f t="shared" si="27"/>
        <v>-931.49770319232107</v>
      </c>
      <c r="T105" s="275">
        <f t="shared" si="27"/>
        <v>-1051.0363036214419</v>
      </c>
      <c r="U105" s="275">
        <f t="shared" si="27"/>
        <v>-1185.7838194013825</v>
      </c>
      <c r="V105" s="275">
        <f t="shared" si="27"/>
        <v>-1337.6547063941023</v>
      </c>
      <c r="W105" s="275">
        <f t="shared" si="27"/>
        <v>-1508.8011530510282</v>
      </c>
      <c r="X105" s="275">
        <f t="shared" si="27"/>
        <v>-1701.642080826151</v>
      </c>
      <c r="Y105" s="275">
        <f t="shared" si="27"/>
        <v>-1918.8955977270248</v>
      </c>
      <c r="Z105" s="275">
        <f t="shared" si="27"/>
        <v>-2163.6153021832074</v>
      </c>
      <c r="AA105" s="275">
        <f t="shared" si="27"/>
        <v>-2439.2308777203448</v>
      </c>
      <c r="AB105" s="275">
        <f t="shared" si="27"/>
        <v>-2749.5934665415321</v>
      </c>
      <c r="AC105" s="288">
        <f t="shared" si="27"/>
        <v>-3099.0263623860415</v>
      </c>
      <c r="AD105" s="369">
        <f t="shared" si="20"/>
        <v>-25520.383893194747</v>
      </c>
    </row>
    <row r="106" spans="1:30" s="53" customFormat="1" ht="12">
      <c r="A106" s="44"/>
      <c r="B106" s="5"/>
      <c r="C106" s="78" t="s">
        <v>444</v>
      </c>
      <c r="D106" s="273">
        <f>D90</f>
        <v>5.9830927281646424</v>
      </c>
      <c r="E106" s="236"/>
      <c r="F106" s="275">
        <f>$D106*F103</f>
        <v>0</v>
      </c>
      <c r="G106" s="275">
        <f t="shared" ref="G106:AC106" si="28">$D106*G103</f>
        <v>555.0089127716094</v>
      </c>
      <c r="H106" s="275">
        <f t="shared" si="28"/>
        <v>1261.868264077531</v>
      </c>
      <c r="I106" s="275">
        <f t="shared" si="28"/>
        <v>1434.4918426033375</v>
      </c>
      <c r="J106" s="275">
        <f t="shared" si="28"/>
        <v>1630.7303266714741</v>
      </c>
      <c r="K106" s="275">
        <f t="shared" si="28"/>
        <v>1853.8142353601315</v>
      </c>
      <c r="L106" s="275">
        <f t="shared" si="28"/>
        <v>2107.4160227573975</v>
      </c>
      <c r="M106" s="275">
        <f t="shared" si="28"/>
        <v>2395.7105346706098</v>
      </c>
      <c r="N106" s="275">
        <f t="shared" si="28"/>
        <v>2723.4437358135492</v>
      </c>
      <c r="O106" s="275">
        <f t="shared" si="28"/>
        <v>3096.0108388728431</v>
      </c>
      <c r="P106" s="275">
        <f t="shared" si="28"/>
        <v>3519.5451216306478</v>
      </c>
      <c r="Q106" s="275">
        <f t="shared" si="28"/>
        <v>4001.0188942697209</v>
      </c>
      <c r="R106" s="275">
        <f t="shared" si="28"/>
        <v>4548.358279005819</v>
      </c>
      <c r="S106" s="275">
        <f t="shared" si="28"/>
        <v>5170.5736915738144</v>
      </c>
      <c r="T106" s="275">
        <f t="shared" si="28"/>
        <v>5877.9081725811138</v>
      </c>
      <c r="U106" s="275">
        <f t="shared" si="28"/>
        <v>6682.0060105902094</v>
      </c>
      <c r="V106" s="275">
        <f t="shared" si="28"/>
        <v>7596.1044328389517</v>
      </c>
      <c r="W106" s="275">
        <f t="shared" si="28"/>
        <v>8635.2515192513201</v>
      </c>
      <c r="X106" s="275">
        <f t="shared" si="28"/>
        <v>9816.553927084904</v>
      </c>
      <c r="Y106" s="275">
        <f t="shared" si="28"/>
        <v>11159.458504310116</v>
      </c>
      <c r="Z106" s="275">
        <f t="shared" si="28"/>
        <v>12686.072427699741</v>
      </c>
      <c r="AA106" s="275">
        <f t="shared" si="28"/>
        <v>14421.527135809067</v>
      </c>
      <c r="AB106" s="275">
        <f t="shared" si="28"/>
        <v>16394.392047987745</v>
      </c>
      <c r="AC106" s="288">
        <f t="shared" si="28"/>
        <v>18637.144880152468</v>
      </c>
      <c r="AD106" s="369">
        <f t="shared" si="20"/>
        <v>146204.40975838411</v>
      </c>
    </row>
    <row r="107" spans="1:30" s="53" customFormat="1" ht="12">
      <c r="A107" s="44"/>
      <c r="B107" s="70"/>
      <c r="C107" s="243"/>
      <c r="D107" s="273"/>
      <c r="E107" s="236"/>
      <c r="F107" s="275"/>
      <c r="G107" s="275"/>
      <c r="H107" s="275"/>
      <c r="I107" s="275"/>
      <c r="J107" s="275"/>
      <c r="K107" s="275"/>
      <c r="L107" s="275"/>
      <c r="M107" s="275"/>
      <c r="N107" s="275"/>
      <c r="O107" s="275"/>
      <c r="P107" s="275"/>
      <c r="Q107" s="275"/>
      <c r="R107" s="275"/>
      <c r="S107" s="275"/>
      <c r="T107" s="275"/>
      <c r="U107" s="275"/>
      <c r="V107" s="275"/>
      <c r="W107" s="275"/>
      <c r="X107" s="275"/>
      <c r="Y107" s="275"/>
      <c r="Z107" s="275"/>
      <c r="AA107" s="275"/>
      <c r="AB107" s="275"/>
      <c r="AC107" s="288"/>
      <c r="AD107" s="369">
        <f t="shared" ref="AD107:AD176" si="29">SUM(F107:AC107)</f>
        <v>0</v>
      </c>
    </row>
    <row r="108" spans="1:30" s="53" customFormat="1" ht="12">
      <c r="A108" s="45"/>
      <c r="B108" s="5"/>
      <c r="C108" s="78"/>
      <c r="D108" s="273"/>
      <c r="E108" s="236"/>
      <c r="F108" s="45"/>
      <c r="G108" s="57"/>
      <c r="AC108" s="283"/>
      <c r="AD108" s="361">
        <f t="shared" si="29"/>
        <v>0</v>
      </c>
    </row>
    <row r="109" spans="1:30" s="53" customFormat="1" ht="12">
      <c r="A109" s="45"/>
      <c r="B109" s="55"/>
      <c r="C109" s="5" t="s">
        <v>503</v>
      </c>
      <c r="D109" s="273"/>
      <c r="E109" s="239"/>
      <c r="F109" s="83">
        <f>F99+F100+F105+F106</f>
        <v>0</v>
      </c>
      <c r="G109" s="83">
        <f>G99+G100+G105+G106</f>
        <v>744.36365024744407</v>
      </c>
      <c r="H109" s="83">
        <f t="shared" ref="H109:AC109" si="30">H99+H100+H105+H106</f>
        <v>1840.4399258517867</v>
      </c>
      <c r="I109" s="83">
        <f t="shared" si="30"/>
        <v>2215.4627720736439</v>
      </c>
      <c r="J109" s="83">
        <f t="shared" si="30"/>
        <v>2616.2384929581303</v>
      </c>
      <c r="K109" s="83">
        <f t="shared" si="30"/>
        <v>3045.540766092035</v>
      </c>
      <c r="L109" s="83">
        <f t="shared" si="30"/>
        <v>3506.5201587001916</v>
      </c>
      <c r="M109" s="83">
        <f t="shared" si="30"/>
        <v>4002.7563662973321</v>
      </c>
      <c r="N109" s="83">
        <f t="shared" si="30"/>
        <v>4538.3177105121122</v>
      </c>
      <c r="O109" s="83">
        <f t="shared" si="30"/>
        <v>5100.4800310629007</v>
      </c>
      <c r="P109" s="83">
        <f t="shared" si="30"/>
        <v>5708.488734192777</v>
      </c>
      <c r="Q109" s="83">
        <f t="shared" si="30"/>
        <v>6368.2878204568278</v>
      </c>
      <c r="R109" s="83">
        <f t="shared" si="30"/>
        <v>7086.6424139018764</v>
      </c>
      <c r="S109" s="83">
        <f t="shared" si="30"/>
        <v>7871.2528152444902</v>
      </c>
      <c r="T109" s="83">
        <f t="shared" si="30"/>
        <v>8730.8844164069451</v>
      </c>
      <c r="U109" s="83">
        <f t="shared" si="30"/>
        <v>9675.5156841951612</v>
      </c>
      <c r="V109" s="83">
        <f t="shared" si="30"/>
        <v>10716.506728484723</v>
      </c>
      <c r="W109" s="83">
        <f t="shared" si="30"/>
        <v>11866.791320758197</v>
      </c>
      <c r="X109" s="83">
        <f t="shared" si="30"/>
        <v>13141.09562819175</v>
      </c>
      <c r="Y109" s="83">
        <f t="shared" si="30"/>
        <v>14556.187383551853</v>
      </c>
      <c r="Z109" s="83">
        <f t="shared" si="30"/>
        <v>16131.159729706093</v>
      </c>
      <c r="AA109" s="83">
        <f t="shared" si="30"/>
        <v>17887.754568446147</v>
      </c>
      <c r="AB109" s="83">
        <f t="shared" si="30"/>
        <v>19850.730916668163</v>
      </c>
      <c r="AC109" s="292">
        <f t="shared" si="30"/>
        <v>22048.284540275807</v>
      </c>
      <c r="AD109" s="378">
        <f t="shared" si="29"/>
        <v>199249.70257427637</v>
      </c>
    </row>
    <row r="110" spans="1:30" s="53" customFormat="1" ht="12">
      <c r="A110" s="45"/>
      <c r="B110" s="45"/>
      <c r="D110" s="228"/>
      <c r="E110" s="236"/>
      <c r="F110" s="45"/>
      <c r="G110" s="57"/>
      <c r="AC110" s="283"/>
      <c r="AD110" s="361">
        <f t="shared" si="29"/>
        <v>0</v>
      </c>
    </row>
    <row r="111" spans="1:30" s="53" customFormat="1" ht="12">
      <c r="A111" s="45"/>
      <c r="B111" s="5" t="s">
        <v>524</v>
      </c>
      <c r="C111" s="5"/>
      <c r="D111" s="228"/>
      <c r="E111" s="236"/>
      <c r="G111" s="57"/>
      <c r="AC111" s="283"/>
      <c r="AD111" s="361">
        <f t="shared" si="29"/>
        <v>0</v>
      </c>
    </row>
    <row r="112" spans="1:30" s="53" customFormat="1" ht="12">
      <c r="A112" s="45"/>
      <c r="B112" s="55" t="s">
        <v>525</v>
      </c>
      <c r="C112" s="244" t="s">
        <v>526</v>
      </c>
      <c r="D112" s="307">
        <v>5.3999999999999999E-2</v>
      </c>
      <c r="E112" s="236"/>
      <c r="G112" s="57"/>
      <c r="AC112" s="283"/>
      <c r="AD112" s="361">
        <f t="shared" si="29"/>
        <v>0</v>
      </c>
    </row>
    <row r="113" spans="1:30" s="53" customFormat="1" ht="12">
      <c r="A113" s="45"/>
      <c r="C113" s="70" t="s">
        <v>522</v>
      </c>
      <c r="D113" s="228"/>
      <c r="E113" s="236"/>
      <c r="F113" s="275">
        <f>-F23*$D$112</f>
        <v>0</v>
      </c>
      <c r="G113" s="275">
        <f t="shared" ref="G113:AC113" si="31">-G23*$D$112</f>
        <v>7864.1680569679638</v>
      </c>
      <c r="H113" s="275">
        <f t="shared" si="31"/>
        <v>15904.007133276356</v>
      </c>
      <c r="I113" s="275">
        <f t="shared" si="31"/>
        <v>16081.201481033266</v>
      </c>
      <c r="J113" s="275">
        <f t="shared" si="31"/>
        <v>16260.127548534025</v>
      </c>
      <c r="K113" s="275">
        <f t="shared" si="31"/>
        <v>16441.022235039614</v>
      </c>
      <c r="L113" s="275">
        <f t="shared" si="31"/>
        <v>16624.154847629878</v>
      </c>
      <c r="M113" s="275">
        <f t="shared" si="31"/>
        <v>16809.831534593199</v>
      </c>
      <c r="N113" s="275">
        <f t="shared" si="31"/>
        <v>16998.400325303814</v>
      </c>
      <c r="O113" s="275">
        <f t="shared" si="31"/>
        <v>17076.888840468964</v>
      </c>
      <c r="P113" s="275">
        <f t="shared" si="31"/>
        <v>17159.114862490296</v>
      </c>
      <c r="Q113" s="275">
        <f t="shared" si="31"/>
        <v>17245.589682305745</v>
      </c>
      <c r="R113" s="275">
        <f t="shared" si="31"/>
        <v>17336.894535453543</v>
      </c>
      <c r="S113" s="275">
        <f t="shared" si="31"/>
        <v>17433.690170493552</v>
      </c>
      <c r="T113" s="275">
        <f t="shared" si="31"/>
        <v>17536.727726388632</v>
      </c>
      <c r="U113" s="275">
        <f t="shared" si="31"/>
        <v>17646.861097911755</v>
      </c>
      <c r="V113" s="275">
        <f t="shared" si="31"/>
        <v>17765.060992640836</v>
      </c>
      <c r="W113" s="275">
        <f t="shared" si="31"/>
        <v>17892.430910950454</v>
      </c>
      <c r="X113" s="275">
        <f t="shared" si="31"/>
        <v>18030.225312066421</v>
      </c>
      <c r="Y113" s="275">
        <f t="shared" si="31"/>
        <v>18179.870265236645</v>
      </c>
      <c r="Z113" s="275">
        <f t="shared" si="31"/>
        <v>18342.986925982157</v>
      </c>
      <c r="AA113" s="275">
        <f t="shared" si="31"/>
        <v>18521.418223899247</v>
      </c>
      <c r="AB113" s="275">
        <f t="shared" si="31"/>
        <v>18717.259201352994</v>
      </c>
      <c r="AC113" s="288">
        <f t="shared" si="31"/>
        <v>18932.891502504008</v>
      </c>
      <c r="AD113" s="369">
        <f t="shared" si="29"/>
        <v>390800.82341252349</v>
      </c>
    </row>
    <row r="114" spans="1:30" s="53" customFormat="1" ht="12">
      <c r="A114" s="45"/>
      <c r="B114" s="45"/>
      <c r="C114" s="244" t="s">
        <v>531</v>
      </c>
      <c r="D114" s="228">
        <v>3.2</v>
      </c>
      <c r="E114" s="236"/>
      <c r="G114" s="57"/>
      <c r="AC114" s="283"/>
      <c r="AD114" s="361">
        <f t="shared" si="29"/>
        <v>0</v>
      </c>
    </row>
    <row r="115" spans="1:30" s="53" customFormat="1" ht="12">
      <c r="A115" s="45"/>
      <c r="B115" s="45"/>
      <c r="C115" s="243" t="s">
        <v>400</v>
      </c>
      <c r="D115" s="273">
        <v>13.91</v>
      </c>
      <c r="E115" s="236"/>
      <c r="G115" s="57"/>
      <c r="AC115" s="283"/>
      <c r="AD115" s="361">
        <f t="shared" si="29"/>
        <v>0</v>
      </c>
    </row>
    <row r="116" spans="1:30" s="53" customFormat="1" ht="12">
      <c r="A116" s="45"/>
      <c r="B116" s="45"/>
      <c r="C116" s="70" t="s">
        <v>581</v>
      </c>
      <c r="D116" s="228"/>
      <c r="E116" s="236"/>
      <c r="F116" s="308">
        <f>($D$114/3600)*$D$115*F30</f>
        <v>0</v>
      </c>
      <c r="G116" s="308">
        <f t="shared" ref="G116:AC116" si="32">($D$114/3600)*$D$115*G30</f>
        <v>0</v>
      </c>
      <c r="H116" s="308">
        <f t="shared" si="32"/>
        <v>38964.042976540586</v>
      </c>
      <c r="I116" s="308">
        <f t="shared" si="32"/>
        <v>39369.300250270448</v>
      </c>
      <c r="J116" s="308">
        <f t="shared" si="32"/>
        <v>39774.527022928283</v>
      </c>
      <c r="K116" s="308">
        <f t="shared" si="32"/>
        <v>40179.719121967442</v>
      </c>
      <c r="L116" s="308">
        <f t="shared" si="32"/>
        <v>40584.871804036877</v>
      </c>
      <c r="M116" s="308">
        <f t="shared" si="32"/>
        <v>40989.979676895127</v>
      </c>
      <c r="N116" s="308">
        <f t="shared" si="32"/>
        <v>41395.036610642121</v>
      </c>
      <c r="O116" s="308">
        <f t="shared" si="32"/>
        <v>41520.652346954033</v>
      </c>
      <c r="P116" s="308">
        <f t="shared" si="32"/>
        <v>41646.202253927098</v>
      </c>
      <c r="Q116" s="308">
        <f t="shared" si="32"/>
        <v>41771.677326107732</v>
      </c>
      <c r="R116" s="308">
        <f t="shared" si="32"/>
        <v>41897.067326096338</v>
      </c>
      <c r="S116" s="308">
        <f t="shared" si="32"/>
        <v>42022.360616017053</v>
      </c>
      <c r="T116" s="308">
        <f t="shared" si="32"/>
        <v>42147.543965932586</v>
      </c>
      <c r="U116" s="308">
        <f t="shared" si="32"/>
        <v>42272.602336050215</v>
      </c>
      <c r="V116" s="308">
        <f t="shared" si="32"/>
        <v>42397.518629133607</v>
      </c>
      <c r="W116" s="308">
        <f t="shared" si="32"/>
        <v>42522.273409044472</v>
      </c>
      <c r="X116" s="308">
        <f t="shared" si="32"/>
        <v>42646.844580780802</v>
      </c>
      <c r="Y116" s="308">
        <f t="shared" si="32"/>
        <v>42771.207026744327</v>
      </c>
      <c r="Z116" s="308">
        <f t="shared" si="32"/>
        <v>42895.33219324932</v>
      </c>
      <c r="AA116" s="308">
        <f t="shared" si="32"/>
        <v>43019.187620465862</v>
      </c>
      <c r="AB116" s="308">
        <f t="shared" si="32"/>
        <v>43142.736408059282</v>
      </c>
      <c r="AC116" s="411">
        <f t="shared" si="32"/>
        <v>43265.936607729163</v>
      </c>
      <c r="AD116" s="379">
        <f t="shared" si="29"/>
        <v>917196.62010957301</v>
      </c>
    </row>
    <row r="117" spans="1:30" s="53" customFormat="1" ht="12">
      <c r="A117" s="45"/>
      <c r="B117" s="55" t="s">
        <v>404</v>
      </c>
      <c r="C117" s="244" t="s">
        <v>532</v>
      </c>
      <c r="D117" s="228">
        <v>5</v>
      </c>
      <c r="E117" s="236"/>
      <c r="G117" s="57"/>
      <c r="AC117" s="283"/>
      <c r="AD117" s="361">
        <f t="shared" si="29"/>
        <v>0</v>
      </c>
    </row>
    <row r="118" spans="1:30" s="53" customFormat="1" ht="12">
      <c r="A118" s="45"/>
      <c r="B118" s="45"/>
      <c r="C118" s="243" t="s">
        <v>400</v>
      </c>
      <c r="D118" s="273">
        <v>13.91</v>
      </c>
      <c r="E118" s="236"/>
      <c r="F118" s="45"/>
      <c r="G118" s="57"/>
      <c r="AC118" s="283"/>
      <c r="AD118" s="361">
        <f t="shared" si="29"/>
        <v>0</v>
      </c>
    </row>
    <row r="119" spans="1:30" s="53" customFormat="1" ht="12">
      <c r="A119" s="45"/>
      <c r="B119" s="45"/>
      <c r="C119" s="243" t="s">
        <v>538</v>
      </c>
      <c r="D119" s="344">
        <f>'Mode Operating Assumptions'!C45</f>
        <v>8.4250000000000002E-3</v>
      </c>
      <c r="E119" s="236"/>
      <c r="F119" s="45"/>
      <c r="G119" s="57"/>
      <c r="AC119" s="283"/>
      <c r="AD119" s="361">
        <f t="shared" si="29"/>
        <v>0</v>
      </c>
    </row>
    <row r="120" spans="1:30" s="53" customFormat="1" ht="12">
      <c r="A120" s="45"/>
      <c r="B120" s="45"/>
      <c r="C120" s="70" t="s">
        <v>533</v>
      </c>
      <c r="D120" s="228"/>
      <c r="E120" s="236"/>
      <c r="F120" s="275">
        <f>-(($D$117/3600*$D$118)+$D$119)*F28</f>
        <v>0</v>
      </c>
      <c r="G120" s="275">
        <f>-(($D$117/3600*$D$118)+$D$119)*G28</f>
        <v>-87143.201312556936</v>
      </c>
      <c r="H120" s="275"/>
      <c r="I120" s="275"/>
      <c r="J120" s="45"/>
      <c r="AC120" s="283"/>
      <c r="AD120" s="361">
        <f t="shared" si="29"/>
        <v>-87143.201312556936</v>
      </c>
    </row>
    <row r="121" spans="1:30" s="53" customFormat="1" ht="12">
      <c r="A121" s="45"/>
      <c r="B121" s="45"/>
      <c r="C121" s="5"/>
      <c r="D121" s="228"/>
      <c r="E121" s="236"/>
      <c r="F121" s="45"/>
      <c r="G121" s="57"/>
      <c r="AC121" s="283"/>
      <c r="AD121" s="361">
        <f t="shared" si="29"/>
        <v>0</v>
      </c>
    </row>
    <row r="122" spans="1:30" s="53" customFormat="1" ht="12">
      <c r="A122" s="45"/>
      <c r="B122" s="45"/>
      <c r="C122" s="5" t="s">
        <v>534</v>
      </c>
      <c r="D122" s="228"/>
      <c r="E122" s="236"/>
      <c r="F122" s="309">
        <f>F113+F116+F120</f>
        <v>0</v>
      </c>
      <c r="G122" s="309">
        <f t="shared" ref="G122:AC122" si="33">G113+G116+G120</f>
        <v>-79279.033255588976</v>
      </c>
      <c r="H122" s="309">
        <f t="shared" si="33"/>
        <v>54868.050109816941</v>
      </c>
      <c r="I122" s="309">
        <f t="shared" si="33"/>
        <v>55450.50173130371</v>
      </c>
      <c r="J122" s="309">
        <f t="shared" si="33"/>
        <v>56034.654571462306</v>
      </c>
      <c r="K122" s="309">
        <f t="shared" si="33"/>
        <v>56620.741357007057</v>
      </c>
      <c r="L122" s="309">
        <f t="shared" si="33"/>
        <v>57209.026651666754</v>
      </c>
      <c r="M122" s="309">
        <f t="shared" si="33"/>
        <v>57799.811211488326</v>
      </c>
      <c r="N122" s="309">
        <f t="shared" si="33"/>
        <v>58393.436935945938</v>
      </c>
      <c r="O122" s="309">
        <f t="shared" si="33"/>
        <v>58597.541187422998</v>
      </c>
      <c r="P122" s="309">
        <f t="shared" si="33"/>
        <v>58805.317116417398</v>
      </c>
      <c r="Q122" s="309">
        <f t="shared" si="33"/>
        <v>59017.267008413473</v>
      </c>
      <c r="R122" s="309">
        <f t="shared" si="33"/>
        <v>59233.961861549877</v>
      </c>
      <c r="S122" s="309">
        <f t="shared" si="33"/>
        <v>59456.050786510605</v>
      </c>
      <c r="T122" s="309">
        <f t="shared" si="33"/>
        <v>59684.271692321214</v>
      </c>
      <c r="U122" s="309">
        <f t="shared" si="33"/>
        <v>59919.463433961966</v>
      </c>
      <c r="V122" s="309">
        <f t="shared" si="33"/>
        <v>60162.579621774443</v>
      </c>
      <c r="W122" s="309">
        <f t="shared" si="33"/>
        <v>60414.704319994926</v>
      </c>
      <c r="X122" s="309">
        <f t="shared" si="33"/>
        <v>60677.069892847227</v>
      </c>
      <c r="Y122" s="309">
        <f t="shared" si="33"/>
        <v>60951.077291980968</v>
      </c>
      <c r="Z122" s="309">
        <f t="shared" si="33"/>
        <v>61238.319119231477</v>
      </c>
      <c r="AA122" s="309">
        <f t="shared" si="33"/>
        <v>61540.605844365113</v>
      </c>
      <c r="AB122" s="309">
        <f t="shared" si="33"/>
        <v>61859.995609412275</v>
      </c>
      <c r="AC122" s="340">
        <f t="shared" si="33"/>
        <v>62198.828110233168</v>
      </c>
      <c r="AD122" s="370">
        <f t="shared" si="29"/>
        <v>1220854.2422095391</v>
      </c>
    </row>
    <row r="123" spans="1:30" s="53" customFormat="1" ht="12">
      <c r="A123" s="45"/>
      <c r="B123" s="45"/>
      <c r="C123" s="5"/>
      <c r="D123" s="228"/>
      <c r="E123" s="236"/>
      <c r="F123" s="45"/>
      <c r="G123" s="57"/>
      <c r="AC123" s="283"/>
      <c r="AD123" s="361">
        <f t="shared" si="29"/>
        <v>0</v>
      </c>
    </row>
    <row r="124" spans="1:30" s="53" customFormat="1" ht="12">
      <c r="A124" s="45"/>
      <c r="B124" s="55" t="s">
        <v>518</v>
      </c>
      <c r="C124" s="5"/>
      <c r="D124" s="228"/>
      <c r="E124" s="236"/>
      <c r="F124" s="252">
        <f>F24</f>
        <v>0</v>
      </c>
      <c r="G124" s="252">
        <f t="shared" ref="G124:AC124" si="34">G24</f>
        <v>25663.82347149877</v>
      </c>
      <c r="H124" s="252">
        <f t="shared" si="34"/>
        <v>50731.23711393532</v>
      </c>
      <c r="I124" s="252">
        <f t="shared" si="34"/>
        <v>50165.869462293573</v>
      </c>
      <c r="J124" s="252">
        <f t="shared" si="34"/>
        <v>49630.171779418757</v>
      </c>
      <c r="K124" s="252">
        <f t="shared" si="34"/>
        <v>49122.972901526671</v>
      </c>
      <c r="L124" s="252">
        <f t="shared" si="34"/>
        <v>48643.293339642754</v>
      </c>
      <c r="M124" s="252">
        <f t="shared" si="34"/>
        <v>48190.338577712522</v>
      </c>
      <c r="N124" s="252">
        <f t="shared" si="34"/>
        <v>47763.494873166928</v>
      </c>
      <c r="O124" s="252">
        <f t="shared" si="34"/>
        <v>47958.628519471335</v>
      </c>
      <c r="P124" s="252">
        <f t="shared" si="34"/>
        <v>48164.046445953907</v>
      </c>
      <c r="Q124" s="252">
        <f t="shared" si="34"/>
        <v>48381.166719015688</v>
      </c>
      <c r="R124" s="252">
        <f t="shared" si="34"/>
        <v>48611.600526507187</v>
      </c>
      <c r="S124" s="252">
        <f t="shared" si="34"/>
        <v>48857.178482570409</v>
      </c>
      <c r="T124" s="252">
        <f t="shared" si="34"/>
        <v>49119.980515491479</v>
      </c>
      <c r="U124" s="252">
        <f t="shared" si="34"/>
        <v>49402.369826618393</v>
      </c>
      <c r="V124" s="252">
        <f t="shared" si="34"/>
        <v>49707.031474879819</v>
      </c>
      <c r="W124" s="252">
        <f t="shared" si="34"/>
        <v>50037.016216977667</v>
      </c>
      <c r="X124" s="252">
        <f t="shared" si="34"/>
        <v>50395.79031915214</v>
      </c>
      <c r="Y124" s="252">
        <f t="shared" si="34"/>
        <v>50787.292153936323</v>
      </c>
      <c r="Z124" s="252">
        <f t="shared" si="34"/>
        <v>51215.996506118245</v>
      </c>
      <c r="AA124" s="252">
        <f t="shared" si="34"/>
        <v>51686.987638023318</v>
      </c>
      <c r="AB124" s="252">
        <f t="shared" si="34"/>
        <v>52206.042307274576</v>
      </c>
      <c r="AC124" s="286">
        <f t="shared" si="34"/>
        <v>52779.724092717246</v>
      </c>
      <c r="AD124" s="371">
        <f t="shared" si="29"/>
        <v>1119222.0532639031</v>
      </c>
    </row>
    <row r="125" spans="1:30" s="5" customFormat="1" ht="12">
      <c r="A125" s="58"/>
      <c r="B125" s="58"/>
      <c r="C125" s="5" t="s">
        <v>612</v>
      </c>
      <c r="D125" s="231"/>
      <c r="E125" s="239"/>
      <c r="F125" s="83">
        <f>F124</f>
        <v>0</v>
      </c>
      <c r="G125" s="83">
        <f t="shared" ref="G125:AC125" si="35">G124</f>
        <v>25663.82347149877</v>
      </c>
      <c r="H125" s="83">
        <f t="shared" si="35"/>
        <v>50731.23711393532</v>
      </c>
      <c r="I125" s="83">
        <f>I124</f>
        <v>50165.869462293573</v>
      </c>
      <c r="J125" s="83">
        <f t="shared" si="35"/>
        <v>49630.171779418757</v>
      </c>
      <c r="K125" s="83">
        <f t="shared" si="35"/>
        <v>49122.972901526671</v>
      </c>
      <c r="L125" s="83">
        <f t="shared" si="35"/>
        <v>48643.293339642754</v>
      </c>
      <c r="M125" s="83">
        <f t="shared" si="35"/>
        <v>48190.338577712522</v>
      </c>
      <c r="N125" s="83">
        <f t="shared" si="35"/>
        <v>47763.494873166928</v>
      </c>
      <c r="O125" s="83">
        <f t="shared" si="35"/>
        <v>47958.628519471335</v>
      </c>
      <c r="P125" s="83">
        <f t="shared" si="35"/>
        <v>48164.046445953907</v>
      </c>
      <c r="Q125" s="83">
        <f t="shared" si="35"/>
        <v>48381.166719015688</v>
      </c>
      <c r="R125" s="83">
        <f t="shared" si="35"/>
        <v>48611.600526507187</v>
      </c>
      <c r="S125" s="83">
        <f t="shared" si="35"/>
        <v>48857.178482570409</v>
      </c>
      <c r="T125" s="83">
        <f t="shared" si="35"/>
        <v>49119.980515491479</v>
      </c>
      <c r="U125" s="83">
        <f t="shared" si="35"/>
        <v>49402.369826618393</v>
      </c>
      <c r="V125" s="83">
        <f t="shared" si="35"/>
        <v>49707.031474879819</v>
      </c>
      <c r="W125" s="83">
        <f t="shared" si="35"/>
        <v>50037.016216977667</v>
      </c>
      <c r="X125" s="83">
        <f t="shared" si="35"/>
        <v>50395.79031915214</v>
      </c>
      <c r="Y125" s="83">
        <f t="shared" si="35"/>
        <v>50787.292153936323</v>
      </c>
      <c r="Z125" s="83">
        <f t="shared" si="35"/>
        <v>51215.996506118245</v>
      </c>
      <c r="AA125" s="83">
        <f t="shared" si="35"/>
        <v>51686.987638023318</v>
      </c>
      <c r="AB125" s="83">
        <f t="shared" si="35"/>
        <v>52206.042307274576</v>
      </c>
      <c r="AC125" s="292">
        <f t="shared" si="35"/>
        <v>52779.724092717246</v>
      </c>
      <c r="AD125" s="378">
        <f t="shared" si="29"/>
        <v>1119222.0532639031</v>
      </c>
    </row>
    <row r="126" spans="1:30" s="112" customFormat="1" ht="12">
      <c r="A126" s="109"/>
      <c r="B126" s="109"/>
      <c r="C126" s="110"/>
      <c r="D126" s="227"/>
      <c r="E126" s="235"/>
      <c r="F126" s="111"/>
      <c r="G126" s="111"/>
      <c r="H126" s="111"/>
      <c r="I126" s="111"/>
      <c r="J126" s="111"/>
      <c r="K126" s="111"/>
      <c r="L126" s="111"/>
      <c r="M126" s="111"/>
      <c r="N126" s="111"/>
      <c r="O126" s="111"/>
      <c r="P126" s="111"/>
      <c r="Q126" s="111"/>
      <c r="R126" s="111"/>
      <c r="S126" s="111"/>
      <c r="T126" s="111"/>
      <c r="U126" s="111"/>
      <c r="V126" s="111"/>
      <c r="W126" s="111"/>
      <c r="X126" s="111"/>
      <c r="Y126" s="111"/>
      <c r="Z126" s="111"/>
      <c r="AC126" s="282"/>
      <c r="AD126" s="360">
        <f t="shared" si="29"/>
        <v>0</v>
      </c>
    </row>
    <row r="127" spans="1:30" s="53" customFormat="1" ht="12">
      <c r="A127" s="58" t="s">
        <v>360</v>
      </c>
      <c r="B127" s="58"/>
      <c r="D127" s="228"/>
      <c r="E127" s="236"/>
      <c r="F127" s="45"/>
      <c r="G127" s="57"/>
      <c r="AC127" s="283"/>
      <c r="AD127" s="361">
        <f t="shared" si="29"/>
        <v>0</v>
      </c>
    </row>
    <row r="128" spans="1:30" s="53" customFormat="1" ht="12">
      <c r="A128" s="55"/>
      <c r="B128" s="55"/>
      <c r="D128" s="228"/>
      <c r="E128" s="236"/>
      <c r="F128" s="45"/>
      <c r="G128" s="57"/>
      <c r="AC128" s="283"/>
      <c r="AD128" s="361">
        <f t="shared" si="29"/>
        <v>0</v>
      </c>
    </row>
    <row r="129" spans="1:30" s="53" customFormat="1" ht="12">
      <c r="A129" s="45"/>
      <c r="B129" s="45"/>
      <c r="C129" s="46" t="s">
        <v>88</v>
      </c>
      <c r="D129" s="228"/>
      <c r="E129" s="236"/>
      <c r="F129" s="45"/>
      <c r="G129" s="57"/>
      <c r="L129" s="61"/>
      <c r="AC129" s="283"/>
      <c r="AD129" s="361">
        <f t="shared" si="29"/>
        <v>0</v>
      </c>
    </row>
    <row r="130" spans="1:30" s="53" customFormat="1" ht="12">
      <c r="A130" s="45"/>
      <c r="B130" s="45"/>
      <c r="C130" s="78" t="s">
        <v>42</v>
      </c>
      <c r="D130" s="228"/>
      <c r="E130" s="236"/>
      <c r="F130" s="45"/>
      <c r="G130" s="57"/>
      <c r="L130" s="61"/>
      <c r="AC130" s="283"/>
      <c r="AD130" s="361">
        <f t="shared" si="29"/>
        <v>0</v>
      </c>
    </row>
    <row r="131" spans="1:30" s="53" customFormat="1" ht="12">
      <c r="A131" s="45"/>
      <c r="B131" s="45"/>
      <c r="C131" s="48" t="s">
        <v>97</v>
      </c>
      <c r="D131" s="228"/>
      <c r="E131" s="238"/>
      <c r="F131" s="71">
        <f>((('Emissions Assumptions'!D9/907185)+('Emissions Assumptions'!D11/907185))*'Forest Glen'!F36)+(('Emissions Assumptions'!D10/907185)*'Forest Glen'!F37)</f>
        <v>0</v>
      </c>
      <c r="G131" s="71">
        <f>((('Emissions Assumptions'!E9/907185)+('Emissions Assumptions'!E11/907185))*'Forest Glen'!G36)+(('Emissions Assumptions'!E10/907185)*'Forest Glen'!G37)</f>
        <v>0</v>
      </c>
      <c r="H131" s="71">
        <f>((('Emissions Assumptions'!F9/907185)+('Emissions Assumptions'!F11/907185))*'Forest Glen'!H36)+(('Emissions Assumptions'!F10/907185)*'Forest Glen'!H37)</f>
        <v>0</v>
      </c>
      <c r="I131" s="71">
        <f>((('Emissions Assumptions'!G9/907185)+('Emissions Assumptions'!G11/907185))*'Forest Glen'!I36)+(('Emissions Assumptions'!G10/907185)*'Forest Glen'!I37)</f>
        <v>0</v>
      </c>
      <c r="J131" s="71">
        <f>((('Emissions Assumptions'!H9/907185)+('Emissions Assumptions'!H11/907185))*'Forest Glen'!J36)+(('Emissions Assumptions'!H10/907185)*'Forest Glen'!J37)</f>
        <v>-7.0962567339840771E-2</v>
      </c>
      <c r="K131" s="71">
        <f>((('Emissions Assumptions'!I9/907185)+('Emissions Assumptions'!I11/907185))*'Forest Glen'!K36)+(('Emissions Assumptions'!I10/907185)*'Forest Glen'!K37)</f>
        <v>-9.165657642138858E-2</v>
      </c>
      <c r="L131" s="71">
        <f>((('Emissions Assumptions'!J9/907185)+('Emissions Assumptions'!J11/907185))*'Forest Glen'!L36)+(('Emissions Assumptions'!J10/907185)*'Forest Glen'!L37)</f>
        <v>-8.7650600165133347E-2</v>
      </c>
      <c r="M131" s="71">
        <f>((('Emissions Assumptions'!K9/907185)+('Emissions Assumptions'!K11/907185))*'Forest Glen'!M36)+(('Emissions Assumptions'!K10/907185)*'Forest Glen'!M37)</f>
        <v>-8.3472863503172817E-2</v>
      </c>
      <c r="N131" s="71">
        <f>((('Emissions Assumptions'!L9/907185)+('Emissions Assumptions'!L11/907185))*'Forest Glen'!N36)+(('Emissions Assumptions'!L10/907185)*'Forest Glen'!N37)</f>
        <v>-7.9115832371386585E-2</v>
      </c>
      <c r="O131" s="71">
        <f>((('Emissions Assumptions'!M9/907185)+('Emissions Assumptions'!M11/907185))*'Forest Glen'!O36)+(('Emissions Assumptions'!M10/907185)*'Forest Glen'!O37)</f>
        <v>-7.3634295330687466E-2</v>
      </c>
      <c r="P131" s="71">
        <f>((('Emissions Assumptions'!N9/907185)+('Emissions Assumptions'!N11/907185))*'Forest Glen'!P36)+(('Emissions Assumptions'!N10/907185)*'Forest Glen'!P37)</f>
        <v>-7.3244464284420593E-2</v>
      </c>
      <c r="Q131" s="71">
        <f>((('Emissions Assumptions'!O9/907185)+('Emissions Assumptions'!O11/907185))*'Forest Glen'!Q36)+(('Emissions Assumptions'!O10/907185)*'Forest Glen'!Q37)</f>
        <v>-7.2847226313245972E-2</v>
      </c>
      <c r="R131" s="71">
        <f>((('Emissions Assumptions'!P9/907185)+('Emissions Assumptions'!P11/907185))*'Forest Glen'!R36)+(('Emissions Assumptions'!P10/907185)*'Forest Glen'!R37)</f>
        <v>-7.2442452310536906E-2</v>
      </c>
      <c r="S131" s="71">
        <f>((('Emissions Assumptions'!Q9/907185)+('Emissions Assumptions'!Q11/907185))*'Forest Glen'!S36)+(('Emissions Assumptions'!Q10/907185)*'Forest Glen'!S37)</f>
        <v>-7.2030011294453314E-2</v>
      </c>
      <c r="T131" s="71">
        <f>((('Emissions Assumptions'!R9/907185)+('Emissions Assumptions'!R11/907185))*'Forest Glen'!T36)+(('Emissions Assumptions'!R10/907185)*'Forest Glen'!T37)</f>
        <v>-7.1609770383308888E-2</v>
      </c>
      <c r="U131" s="71">
        <f>((('Emissions Assumptions'!S9/907185)+('Emissions Assumptions'!S11/907185))*'Forest Glen'!U36)+(('Emissions Assumptions'!S10/907185)*'Forest Glen'!U37)</f>
        <v>-7.1181594770633377E-2</v>
      </c>
      <c r="V131" s="71">
        <f>((('Emissions Assumptions'!T9/907185)+('Emissions Assumptions'!T11/907185))*'Forest Glen'!V36)+(('Emissions Assumptions'!T10/907185)*'Forest Glen'!V37)</f>
        <v>-7.0745347699925909E-2</v>
      </c>
      <c r="W131" s="71">
        <f>((('Emissions Assumptions'!U9/907185)+('Emissions Assumptions'!U11/907185))*'Forest Glen'!W36)+(('Emissions Assumptions'!U10/907185)*'Forest Glen'!W37)</f>
        <v>-7.0300890439095737E-2</v>
      </c>
      <c r="X131" s="71">
        <f>((('Emissions Assumptions'!V9/907185)+('Emissions Assumptions'!V11/907185))*'Forest Glen'!X36)+(('Emissions Assumptions'!V10/907185)*'Forest Glen'!X37)</f>
        <v>-6.9848082254587149E-2</v>
      </c>
      <c r="Y131" s="71">
        <f>((('Emissions Assumptions'!W9/907185)+('Emissions Assumptions'!W11/907185))*'Forest Glen'!Y36)+(('Emissions Assumptions'!W10/907185)*'Forest Glen'!Y37)</f>
        <v>-6.9386780385183783E-2</v>
      </c>
      <c r="Z131" s="71">
        <f>((('Emissions Assumptions'!X9/907185)+('Emissions Assumptions'!X11/907185))*'Forest Glen'!Z36)+(('Emissions Assumptions'!X10/907185)*'Forest Glen'!Z37)</f>
        <v>-6.9868703009766178E-2</v>
      </c>
      <c r="AA131" s="71">
        <f>((('Emissions Assumptions'!Y9/907185)+('Emissions Assumptions'!Y11/907185))*'Forest Glen'!AA36)+(('Emissions Assumptions'!Y10/907185)*'Forest Glen'!AA37)</f>
        <v>-7.0355288021161727E-2</v>
      </c>
      <c r="AB131" s="71">
        <f>((('Emissions Assumptions'!Z9/907185)+('Emissions Assumptions'!Z11/907185))*'Forest Glen'!AB36)+(('Emissions Assumptions'!Z10/907185)*'Forest Glen'!AB37)</f>
        <v>-7.084658192717741E-2</v>
      </c>
      <c r="AC131" s="412">
        <f>((('Emissions Assumptions'!AA9/907185)+('Emissions Assumptions'!AA11/907185))*'Forest Glen'!AC36)+(('Emissions Assumptions'!AA10/907185)*'Forest Glen'!AC37)</f>
        <v>-7.1342631700612336E-2</v>
      </c>
      <c r="AD131" s="380">
        <f t="shared" si="29"/>
        <v>-1.4825425599257187</v>
      </c>
    </row>
    <row r="132" spans="1:30" s="53" customFormat="1" ht="12">
      <c r="A132" s="45"/>
      <c r="B132" s="45"/>
      <c r="C132" s="48" t="s">
        <v>98</v>
      </c>
      <c r="D132" s="228"/>
      <c r="E132" s="238"/>
      <c r="F132" s="71">
        <f>(('Emissions Assumptions'!D4/907185)*F22)+(('Emissions Assumptions'!D5/907185)*F23)</f>
        <v>0</v>
      </c>
      <c r="G132" s="71">
        <f>(('Emissions Assumptions'!E4/907185)*G22)+(('Emissions Assumptions'!E5/907185)*G23)</f>
        <v>-6.6739564723593964E-2</v>
      </c>
      <c r="H132" s="71">
        <f>(('Emissions Assumptions'!F4/907185)*H22)+(('Emissions Assumptions'!F5/907185)*H23)</f>
        <v>-0.12608077017906397</v>
      </c>
      <c r="I132" s="71">
        <f>(('Emissions Assumptions'!G4/907185)*I22)+(('Emissions Assumptions'!G5/907185)*I23)</f>
        <v>-0.11849726085931361</v>
      </c>
      <c r="J132" s="71">
        <f>(('Emissions Assumptions'!H4/907185)*J22)+(('Emissions Assumptions'!H5/907185)*J23)</f>
        <v>-0.11072746628793798</v>
      </c>
      <c r="K132" s="71">
        <f>(('Emissions Assumptions'!I4/907185)*K22)+(('Emissions Assumptions'!I5/907185)*K23)</f>
        <v>-0.10276996355990003</v>
      </c>
      <c r="L132" s="71">
        <f>(('Emissions Assumptions'!J4/907185)*L22)+(('Emissions Assumptions'!J5/907185)*L23)</f>
        <v>-9.4622984593431311E-2</v>
      </c>
      <c r="M132" s="71">
        <f>(('Emissions Assumptions'!K4/907185)*M22)+(('Emissions Assumptions'!K5/907185)*M23)</f>
        <v>-8.6284348318264759E-2</v>
      </c>
      <c r="N132" s="71">
        <f>(('Emissions Assumptions'!L4/907185)*N22)+(('Emissions Assumptions'!L5/907185)*N23)</f>
        <v>-7.7751380770287939E-2</v>
      </c>
      <c r="O132" s="71">
        <f>(('Emissions Assumptions'!M4/907185)*O22)+(('Emissions Assumptions'!M5/907185)*O23)</f>
        <v>-6.8565635663697513E-2</v>
      </c>
      <c r="P132" s="71">
        <f>(('Emissions Assumptions'!N4/907185)*P22)+(('Emissions Assumptions'!N5/907185)*P23)</f>
        <v>-6.7637228647832892E-2</v>
      </c>
      <c r="Q132" s="71">
        <f>(('Emissions Assumptions'!O4/907185)*Q22)+(('Emissions Assumptions'!O5/907185)*Q23)</f>
        <v>-6.6713195856835036E-2</v>
      </c>
      <c r="R132" s="71">
        <f>(('Emissions Assumptions'!P4/907185)*R22)+(('Emissions Assumptions'!P5/907185)*R23)</f>
        <v>-6.579480822497609E-2</v>
      </c>
      <c r="S132" s="71">
        <f>(('Emissions Assumptions'!Q4/907185)*S22)+(('Emissions Assumptions'!Q5/907185)*S23)</f>
        <v>-6.4883462087021421E-2</v>
      </c>
      <c r="T132" s="71">
        <f>(('Emissions Assumptions'!R4/907185)*T22)+(('Emissions Assumptions'!R5/907185)*T23)</f>
        <v>-6.3980689703235533E-2</v>
      </c>
      <c r="U132" s="71">
        <f>(('Emissions Assumptions'!S4/907185)*U22)+(('Emissions Assumptions'!S5/907185)*U23)</f>
        <v>-6.3088170317254708E-2</v>
      </c>
      <c r="V132" s="71">
        <f>(('Emissions Assumptions'!T4/907185)*V22)+(('Emissions Assumptions'!T5/907185)*V23)</f>
        <v>-6.2207741695651159E-2</v>
      </c>
      <c r="W132" s="71">
        <f>(('Emissions Assumptions'!U4/907185)*W22)+(('Emissions Assumptions'!U5/907185)*W23)</f>
        <v>-6.1341412074039973E-2</v>
      </c>
      <c r="X132" s="71">
        <f>(('Emissions Assumptions'!V4/907185)*X22)+(('Emissions Assumptions'!V5/907185)*X23)</f>
        <v>-6.0491372405004455E-2</v>
      </c>
      <c r="Y132" s="71">
        <f>(('Emissions Assumptions'!W4/907185)*Y22)+(('Emissions Assumptions'!W5/907185)*Y23)</f>
        <v>-5.9660008766855316E-2</v>
      </c>
      <c r="Z132" s="71">
        <f>(('Emissions Assumptions'!X4/907185)*Z22)+(('Emissions Assumptions'!X5/907185)*Z23)</f>
        <v>-6.0195300893153156E-2</v>
      </c>
      <c r="AA132" s="71">
        <f>(('Emissions Assumptions'!Y4/907185)*AA22)+(('Emissions Assumptions'!Y5/907185)*AA23)</f>
        <v>-6.0780850330124141E-2</v>
      </c>
      <c r="AB132" s="71">
        <f>(('Emissions Assumptions'!Z4/907185)*AB22)+(('Emissions Assumptions'!Z5/907185)*AB23)</f>
        <v>-6.1423532277868384E-2</v>
      </c>
      <c r="AC132" s="412">
        <f>(('Emissions Assumptions'!AA4/907185)*AC22)+(('Emissions Assumptions'!AA5/907185)*AC23)</f>
        <v>-6.2131162463859663E-2</v>
      </c>
      <c r="AD132" s="380">
        <f t="shared" si="29"/>
        <v>-1.7323683106992032</v>
      </c>
    </row>
    <row r="133" spans="1:30" s="53" customFormat="1" ht="12">
      <c r="A133" s="45"/>
      <c r="B133" s="45"/>
      <c r="C133" s="48" t="s">
        <v>99</v>
      </c>
      <c r="D133" s="228"/>
      <c r="E133" s="238"/>
      <c r="F133" s="71">
        <f>(('Emissions Assumptions'!D14/907185)*F22)+(('Emissions Assumptions'!D18/907185)*F23)+(('Emissions Assumptions'!D19/907185)*F22)</f>
        <v>0</v>
      </c>
      <c r="G133" s="71">
        <f>(('Emissions Assumptions'!E14/907185)*G22)+(('Emissions Assumptions'!E18/907185)*G23)+(('Emissions Assumptions'!E19/907185)*G22)</f>
        <v>-9.5406977576686397E-2</v>
      </c>
      <c r="H133" s="71">
        <f>(('Emissions Assumptions'!F14/907185)*H22)+(('Emissions Assumptions'!F18/907185)*H23)+(('Emissions Assumptions'!F19/907185)*H22)</f>
        <v>-0.18003529346189548</v>
      </c>
      <c r="I133" s="71">
        <f>(('Emissions Assumptions'!G14/907185)*I22)+(('Emissions Assumptions'!G18/907185)*I23)+(('Emissions Assumptions'!G19/907185)*I22)</f>
        <v>-0.16898744201050533</v>
      </c>
      <c r="J133" s="71">
        <f>(('Emissions Assumptions'!H14/907185)*J22)+(('Emissions Assumptions'!H18/907185)*J23)+(('Emissions Assumptions'!H19/907185)*J22)</f>
        <v>-0.15766871186823975</v>
      </c>
      <c r="K133" s="71">
        <f>(('Emissions Assumptions'!I14/907185)*K22)+(('Emissions Assumptions'!I18/907185)*K23)+(('Emissions Assumptions'!I19/907185)*K22)</f>
        <v>-0.14607699075838582</v>
      </c>
      <c r="L133" s="71">
        <f>(('Emissions Assumptions'!J14/907185)*L22)+(('Emissions Assumptions'!J18/907185)*L23)+(('Emissions Assumptions'!J19/907185)*L22)</f>
        <v>-0.1342096588381417</v>
      </c>
      <c r="M133" s="71">
        <f>(('Emissions Assumptions'!K14/907185)*M22)+(('Emissions Assumptions'!K18/907185)*M23)+(('Emissions Assumptions'!K19/907185)*M22)</f>
        <v>-0.12206348935818882</v>
      </c>
      <c r="N133" s="71">
        <f>(('Emissions Assumptions'!L14/907185)*N22)+(('Emissions Assumptions'!L18/907185)*N23)+(('Emissions Assumptions'!L19/907185)*N22)</f>
        <v>-0.10963453164143534</v>
      </c>
      <c r="O133" s="71">
        <f>(('Emissions Assumptions'!M14/907185)*O22)+(('Emissions Assumptions'!M18/907185)*O23)+(('Emissions Assumptions'!M19/907185)*O22)</f>
        <v>-9.6278809092884582E-2</v>
      </c>
      <c r="P133" s="71">
        <f>(('Emissions Assumptions'!N14/907185)*P22)+(('Emissions Assumptions'!N18/907185)*P23)+(('Emissions Assumptions'!N19/907185)*P22)</f>
        <v>-9.4150114804200324E-2</v>
      </c>
      <c r="Q133" s="71">
        <f>(('Emissions Assumptions'!O14/907185)*Q22)+(('Emissions Assumptions'!O18/907185)*Q23)+(('Emissions Assumptions'!O19/907185)*Q22)</f>
        <v>-9.2019247021486617E-2</v>
      </c>
      <c r="R133" s="71">
        <f>(('Emissions Assumptions'!P14/907185)*R22)+(('Emissions Assumptions'!P18/907185)*R23)+(('Emissions Assumptions'!P19/907185)*R22)</f>
        <v>-8.9887293662382253E-2</v>
      </c>
      <c r="S133" s="71">
        <f>(('Emissions Assumptions'!Q14/907185)*S22)+(('Emissions Assumptions'!Q18/907185)*S23)+(('Emissions Assumptions'!Q19/907185)*S22)</f>
        <v>-8.7755391650302536E-2</v>
      </c>
      <c r="T133" s="71">
        <f>(('Emissions Assumptions'!R14/907185)*T22)+(('Emissions Assumptions'!R18/907185)*T23)+(('Emissions Assumptions'!R19/907185)*T22)</f>
        <v>-8.5624719962868023E-2</v>
      </c>
      <c r="U133" s="71">
        <f>(('Emissions Assumptions'!S14/907185)*U22)+(('Emissions Assumptions'!S18/907185)*U23)+(('Emissions Assumptions'!S19/907185)*U22)</f>
        <v>-8.3496489861277334E-2</v>
      </c>
      <c r="V133" s="71">
        <f>(('Emissions Assumptions'!T14/907185)*V22)+(('Emissions Assumptions'!T18/907185)*V23)+(('Emissions Assumptions'!T19/907185)*V22)</f>
        <v>-8.1371931659423982E-2</v>
      </c>
      <c r="W133" s="71">
        <f>(('Emissions Assumptions'!U14/907185)*W22)+(('Emissions Assumptions'!U18/907185)*W23)+(('Emissions Assumptions'!U19/907185)*W22)</f>
        <v>-7.925227726888108E-2</v>
      </c>
      <c r="X133" s="71">
        <f>(('Emissions Assumptions'!V14/907185)*X22)+(('Emissions Assumptions'!V18/907185)*X23)+(('Emissions Assumptions'!V19/907185)*X22)</f>
        <v>-7.713873761163674E-2</v>
      </c>
      <c r="Y133" s="71">
        <f>(('Emissions Assumptions'!W14/907185)*Y22)+(('Emissions Assumptions'!W18/907185)*Y23)+(('Emissions Assumptions'!W19/907185)*Y22)</f>
        <v>-7.5032473823054932E-2</v>
      </c>
      <c r="Z133" s="71">
        <f>(('Emissions Assumptions'!X14/907185)*Z22)+(('Emissions Assumptions'!X18/907185)*Z23)+(('Emissions Assumptions'!X19/907185)*Z22)</f>
        <v>-7.5705693510485561E-2</v>
      </c>
      <c r="AA133" s="71">
        <f>(('Emissions Assumptions'!Y14/907185)*AA22)+(('Emissions Assumptions'!Y18/907185)*AA23)+(('Emissions Assumptions'!Y19/907185)*AA22)</f>
        <v>-7.6442120200822194E-2</v>
      </c>
      <c r="AB133" s="71">
        <f>(('Emissions Assumptions'!Z14/907185)*AB22)+(('Emissions Assumptions'!Z18/907185)*AB23)+(('Emissions Assumptions'!Z19/907185)*AB22)</f>
        <v>-7.7250400612062425E-2</v>
      </c>
      <c r="AC133" s="412">
        <f>(('Emissions Assumptions'!AA14/907185)*AC22)+(('Emissions Assumptions'!AA18/907185)*AC23)+(('Emissions Assumptions'!AA19/907185)*AC22)</f>
        <v>-7.8140364333225867E-2</v>
      </c>
      <c r="AD133" s="380">
        <f t="shared" si="29"/>
        <v>-2.3636291605884727</v>
      </c>
    </row>
    <row r="134" spans="1:30" s="53" customFormat="1" ht="12">
      <c r="A134" s="45"/>
      <c r="B134" s="45"/>
      <c r="C134" s="48" t="s">
        <v>100</v>
      </c>
      <c r="D134" s="228"/>
      <c r="E134" s="238"/>
      <c r="F134" s="71">
        <f>('Emissions Assumptions'!D21/907185)*F23</f>
        <v>0</v>
      </c>
      <c r="G134" s="71">
        <f>('Emissions Assumptions'!E21/907185)*G23</f>
        <v>-70.813115846561075</v>
      </c>
      <c r="H134" s="71">
        <f>('Emissions Assumptions'!F21/907185)*H23</f>
        <v>-139.86682255764532</v>
      </c>
      <c r="I134" s="71">
        <f>('Emissions Assumptions'!G21/907185)*I23</f>
        <v>-138.04667740488944</v>
      </c>
      <c r="J134" s="71">
        <f>('Emissions Assumptions'!H21/907185)*J23</f>
        <v>-136.16658125879508</v>
      </c>
      <c r="K134" s="71">
        <f>('Emissions Assumptions'!I21/907185)*K23</f>
        <v>-134.22737676484797</v>
      </c>
      <c r="L134" s="71">
        <f>('Emissions Assumptions'!J21/907185)*L23</f>
        <v>-132.22996526420653</v>
      </c>
      <c r="M134" s="71">
        <f>('Emissions Assumptions'!K21/907185)*M23</f>
        <v>-130.17530708336875</v>
      </c>
      <c r="N134" s="71">
        <f>('Emissions Assumptions'!L21/907185)*N23</f>
        <v>-128.06442080464603</v>
      </c>
      <c r="O134" s="71">
        <f>('Emissions Assumptions'!M21/907185)*O23</f>
        <v>-125.06809404182582</v>
      </c>
      <c r="P134" s="71">
        <f>('Emissions Assumptions'!N21/907185)*P23</f>
        <v>-124.06818312816323</v>
      </c>
      <c r="Q134" s="71">
        <f>('Emissions Assumptions'!O21/907185)*Q23</f>
        <v>-123.08324161642746</v>
      </c>
      <c r="R134" s="71">
        <f>('Emissions Assumptions'!P21/907185)*R23</f>
        <v>-122.11617345430876</v>
      </c>
      <c r="S134" s="71">
        <f>('Emissions Assumptions'!Q21/907185)*S23</f>
        <v>-121.17021815648398</v>
      </c>
      <c r="T134" s="71">
        <f>('Emissions Assumptions'!R21/907185)*T23</f>
        <v>-120.24898827057002</v>
      </c>
      <c r="U134" s="71">
        <f>('Emissions Assumptions'!S21/907185)*U23</f>
        <v>-119.35651081388106</v>
      </c>
      <c r="V134" s="71">
        <f>('Emissions Assumptions'!T21/907185)*V23</f>
        <v>-118.49727306625464</v>
      </c>
      <c r="W134" s="71">
        <f>('Emissions Assumptions'!U21/907185)*W23</f>
        <v>-117.67627313530966</v>
      </c>
      <c r="X134" s="71">
        <f>('Emissions Assumptions'!V21/907185)*X23</f>
        <v>-116.89907574289529</v>
      </c>
      <c r="Y134" s="71">
        <f>('Emissions Assumptions'!W21/907185)*Y23</f>
        <v>-116.17187371495912</v>
      </c>
      <c r="Z134" s="71">
        <f>('Emissions Assumptions'!X21/907185)*Z23</f>
        <v>-117.21421163247268</v>
      </c>
      <c r="AA134" s="71">
        <f>('Emissions Assumptions'!Y21/907185)*AA23</f>
        <v>-118.35441218979226</v>
      </c>
      <c r="AB134" s="71">
        <f>('Emissions Assumptions'!Z21/907185)*AB23</f>
        <v>-119.60586299604334</v>
      </c>
      <c r="AC134" s="412">
        <f>('Emissions Assumptions'!AA21/907185)*AC23</f>
        <v>-120.98378308527978</v>
      </c>
      <c r="AD134" s="380">
        <f t="shared" si="29"/>
        <v>-2810.1044420296266</v>
      </c>
    </row>
    <row r="135" spans="1:30" s="53" customFormat="1" ht="12">
      <c r="A135" s="45"/>
      <c r="B135" s="45"/>
      <c r="C135" s="70" t="s">
        <v>115</v>
      </c>
      <c r="D135" s="228"/>
      <c r="E135" s="236"/>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283"/>
      <c r="AD135" s="361">
        <f t="shared" si="29"/>
        <v>0</v>
      </c>
    </row>
    <row r="136" spans="1:30" s="53" customFormat="1" ht="12">
      <c r="A136" s="45"/>
      <c r="B136" s="45"/>
      <c r="C136" s="48" t="s">
        <v>43</v>
      </c>
      <c r="D136" s="228"/>
      <c r="E136" s="239"/>
      <c r="F136" s="56">
        <f>-(F131*'Emissions Assumptions'!D12)</f>
        <v>0</v>
      </c>
      <c r="G136" s="56">
        <f>-(G131*'Emissions Assumptions'!E12)</f>
        <v>0</v>
      </c>
      <c r="H136" s="56">
        <f>-(H131*'Emissions Assumptions'!F12)</f>
        <v>0</v>
      </c>
      <c r="I136" s="56">
        <f>-(I131*'Emissions Assumptions'!G12)</f>
        <v>0</v>
      </c>
      <c r="J136" s="56">
        <f>-(J131*'Emissions Assumptions'!H12)</f>
        <v>120.63636447772932</v>
      </c>
      <c r="K136" s="56">
        <f>-(K131*'Emissions Assumptions'!I12)</f>
        <v>155.8161799163606</v>
      </c>
      <c r="L136" s="56">
        <f>-(L131*'Emissions Assumptions'!J12)</f>
        <v>149.00602028072669</v>
      </c>
      <c r="M136" s="56">
        <f>-(M131*'Emissions Assumptions'!K12)</f>
        <v>141.90386795539379</v>
      </c>
      <c r="N136" s="56">
        <f>-(N131*'Emissions Assumptions'!L12)</f>
        <v>134.49691503135719</v>
      </c>
      <c r="O136" s="56">
        <f>-(O131*'Emissions Assumptions'!M12)</f>
        <v>125.1783020621687</v>
      </c>
      <c r="P136" s="56">
        <f>-(P131*'Emissions Assumptions'!N12)</f>
        <v>124.51558928351501</v>
      </c>
      <c r="Q136" s="56">
        <f>-(Q131*'Emissions Assumptions'!O12)</f>
        <v>123.84028473251816</v>
      </c>
      <c r="R136" s="56">
        <f>-(R131*'Emissions Assumptions'!P12)</f>
        <v>123.15216892791274</v>
      </c>
      <c r="S136" s="56">
        <f>-(S131*'Emissions Assumptions'!Q12)</f>
        <v>122.45101920057063</v>
      </c>
      <c r="T136" s="56">
        <f>-(T131*'Emissions Assumptions'!R12)</f>
        <v>121.73660965162512</v>
      </c>
      <c r="U136" s="56">
        <f>-(U131*'Emissions Assumptions'!S12)</f>
        <v>121.00871111007675</v>
      </c>
      <c r="V136" s="56">
        <f>-(V131*'Emissions Assumptions'!T12)</f>
        <v>120.26709108987404</v>
      </c>
      <c r="W136" s="56">
        <f>-(W131*'Emissions Assumptions'!U12)</f>
        <v>119.51151374646275</v>
      </c>
      <c r="X136" s="56">
        <f>-(X131*'Emissions Assumptions'!V12)</f>
        <v>118.74173983279815</v>
      </c>
      <c r="Y136" s="56">
        <f>-(Y131*'Emissions Assumptions'!W12)</f>
        <v>117.95752665481243</v>
      </c>
      <c r="Z136" s="56">
        <f>-(Z131*'Emissions Assumptions'!X12)</f>
        <v>118.7767951166025</v>
      </c>
      <c r="AA136" s="56">
        <f>-(AA131*'Emissions Assumptions'!Y12)</f>
        <v>119.60398963597494</v>
      </c>
      <c r="AB136" s="56">
        <f>-(AB131*'Emissions Assumptions'!Z12)</f>
        <v>120.4391892762016</v>
      </c>
      <c r="AC136" s="413">
        <f>-(AC131*'Emissions Assumptions'!AA12)</f>
        <v>121.28247389104096</v>
      </c>
      <c r="AD136" s="381">
        <f t="shared" si="29"/>
        <v>2520.3223518737213</v>
      </c>
    </row>
    <row r="137" spans="1:30" ht="13.5">
      <c r="A137" s="45"/>
      <c r="B137" s="45"/>
      <c r="C137" s="48" t="s">
        <v>119</v>
      </c>
      <c r="D137" s="228"/>
      <c r="E137" s="239"/>
      <c r="F137" s="56">
        <f>-(F132*'Emissions Assumptions'!D6)</f>
        <v>0</v>
      </c>
      <c r="G137" s="56">
        <f>-(G132*'Emissions Assumptions'!E6)</f>
        <v>266.95825889437583</v>
      </c>
      <c r="H137" s="56">
        <f>-(H132*'Emissions Assumptions'!F6)</f>
        <v>504.32308071625584</v>
      </c>
      <c r="I137" s="56">
        <f>-(I132*'Emissions Assumptions'!G6)</f>
        <v>473.98904343725445</v>
      </c>
      <c r="J137" s="56">
        <f>-(J132*'Emissions Assumptions'!H6)</f>
        <v>442.90986515175189</v>
      </c>
      <c r="K137" s="56">
        <f>-(K132*'Emissions Assumptions'!I6)</f>
        <v>411.07985423960014</v>
      </c>
      <c r="L137" s="56">
        <f>-(L132*'Emissions Assumptions'!J6)</f>
        <v>378.49193837372525</v>
      </c>
      <c r="M137" s="56">
        <f>-(M132*'Emissions Assumptions'!K6)</f>
        <v>345.13739327305905</v>
      </c>
      <c r="N137" s="56">
        <f>-(N132*'Emissions Assumptions'!L6)</f>
        <v>311.00552308115175</v>
      </c>
      <c r="O137" s="56">
        <f>-(O132*'Emissions Assumptions'!M6)</f>
        <v>274.26254265479008</v>
      </c>
      <c r="P137" s="56">
        <f>-(P132*'Emissions Assumptions'!N6)</f>
        <v>270.5489145913316</v>
      </c>
      <c r="Q137" s="56">
        <f>-(Q132*'Emissions Assumptions'!O6)</f>
        <v>266.85278342734017</v>
      </c>
      <c r="R137" s="56">
        <f>-(R132*'Emissions Assumptions'!P6)</f>
        <v>263.17923289990438</v>
      </c>
      <c r="S137" s="56">
        <f>-(S132*'Emissions Assumptions'!Q6)</f>
        <v>259.53384834808566</v>
      </c>
      <c r="T137" s="56">
        <f>-(T132*'Emissions Assumptions'!R6)</f>
        <v>255.92275881294213</v>
      </c>
      <c r="U137" s="56">
        <f>-(U132*'Emissions Assumptions'!S6)</f>
        <v>252.35268126901883</v>
      </c>
      <c r="V137" s="56">
        <f>-(V132*'Emissions Assumptions'!T6)</f>
        <v>248.83096678260463</v>
      </c>
      <c r="W137" s="56">
        <f>-(W132*'Emissions Assumptions'!U6)</f>
        <v>245.36564829615989</v>
      </c>
      <c r="X137" s="56">
        <f>-(X132*'Emissions Assumptions'!V6)</f>
        <v>241.96548962001782</v>
      </c>
      <c r="Y137" s="56">
        <f>-(Y132*'Emissions Assumptions'!W6)</f>
        <v>238.64003506742125</v>
      </c>
      <c r="Z137" s="56">
        <f>-(Z132*'Emissions Assumptions'!X6)</f>
        <v>240.78120357261261</v>
      </c>
      <c r="AA137" s="56">
        <f>-(AA132*'Emissions Assumptions'!Y6)</f>
        <v>243.12340132049655</v>
      </c>
      <c r="AB137" s="56">
        <f>-(AB132*'Emissions Assumptions'!Z6)</f>
        <v>245.69412911147353</v>
      </c>
      <c r="AC137" s="413">
        <f>-(AC132*'Emissions Assumptions'!AA6)</f>
        <v>248.52464985543864</v>
      </c>
      <c r="AD137" s="381">
        <f t="shared" si="29"/>
        <v>6929.473242796812</v>
      </c>
    </row>
    <row r="138" spans="1:30" ht="13.5">
      <c r="A138" s="45"/>
      <c r="B138" s="45"/>
      <c r="C138" s="48" t="s">
        <v>117</v>
      </c>
      <c r="D138" s="228"/>
      <c r="E138" s="239"/>
      <c r="F138" s="56">
        <f>-(F133*'Emissions Assumptions'!D15)</f>
        <v>0</v>
      </c>
      <c r="G138" s="56">
        <f>-(G133*'Emissions Assumptions'!E15)</f>
        <v>16028.372232883316</v>
      </c>
      <c r="H138" s="56">
        <f>-(H133*'Emissions Assumptions'!F15)</f>
        <v>30245.92930159844</v>
      </c>
      <c r="I138" s="56">
        <f>-(I133*'Emissions Assumptions'!G15)</f>
        <v>28389.890257764895</v>
      </c>
      <c r="J138" s="56">
        <f>-(J133*'Emissions Assumptions'!H15)</f>
        <v>26488.343593864276</v>
      </c>
      <c r="K138" s="56">
        <f>-(K133*'Emissions Assumptions'!I15)</f>
        <v>24540.934447408818</v>
      </c>
      <c r="L138" s="56">
        <f>-(L133*'Emissions Assumptions'!J15)</f>
        <v>22547.222684807806</v>
      </c>
      <c r="M138" s="56">
        <f>-(M133*'Emissions Assumptions'!K15)</f>
        <v>20506.666212175722</v>
      </c>
      <c r="N138" s="56">
        <f>-(N133*'Emissions Assumptions'!L15)</f>
        <v>18418.601315761138</v>
      </c>
      <c r="O138" s="56">
        <f>-(O133*'Emissions Assumptions'!M15)</f>
        <v>16174.839927604609</v>
      </c>
      <c r="P138" s="56">
        <f>-(P133*'Emissions Assumptions'!N15)</f>
        <v>15817.219287105654</v>
      </c>
      <c r="Q138" s="56">
        <f>-(Q133*'Emissions Assumptions'!O15)</f>
        <v>15459.233499609752</v>
      </c>
      <c r="R138" s="56">
        <f>-(R133*'Emissions Assumptions'!P15)</f>
        <v>15101.065335280218</v>
      </c>
      <c r="S138" s="56">
        <f>-(S133*'Emissions Assumptions'!Q15)</f>
        <v>14742.905797250825</v>
      </c>
      <c r="T138" s="56">
        <f>-(T133*'Emissions Assumptions'!R15)</f>
        <v>14384.952953761827</v>
      </c>
      <c r="U138" s="56">
        <f>-(U133*'Emissions Assumptions'!S15)</f>
        <v>14027.410296694592</v>
      </c>
      <c r="V138" s="56">
        <f>-(V133*'Emissions Assumptions'!T15)</f>
        <v>13670.484518783229</v>
      </c>
      <c r="W138" s="56">
        <f>-(W133*'Emissions Assumptions'!U15)</f>
        <v>13314.382581172022</v>
      </c>
      <c r="X138" s="56">
        <f>-(X133*'Emissions Assumptions'!V15)</f>
        <v>12959.307918754972</v>
      </c>
      <c r="Y138" s="56">
        <f>-(Y133*'Emissions Assumptions'!W15)</f>
        <v>12605.455602273229</v>
      </c>
      <c r="Z138" s="56">
        <f>-(Z133*'Emissions Assumptions'!X15)</f>
        <v>12718.556509761574</v>
      </c>
      <c r="AA138" s="56">
        <f>-(AA133*'Emissions Assumptions'!Y15)</f>
        <v>12842.276193738129</v>
      </c>
      <c r="AB138" s="56">
        <f>-(AB133*'Emissions Assumptions'!Z15)</f>
        <v>12978.067302826488</v>
      </c>
      <c r="AC138" s="413">
        <f>-(AC133*'Emissions Assumptions'!AA15)</f>
        <v>13127.581207981946</v>
      </c>
      <c r="AD138" s="381">
        <f t="shared" si="29"/>
        <v>397089.69897886354</v>
      </c>
    </row>
    <row r="139" spans="1:30" s="53" customFormat="1" ht="13.5">
      <c r="A139" s="45"/>
      <c r="B139" s="45"/>
      <c r="C139" s="48" t="s">
        <v>118</v>
      </c>
      <c r="D139" s="228"/>
      <c r="E139" s="239"/>
      <c r="F139" s="56">
        <f>-(F134*'Emissions Assumptions'!D22)</f>
        <v>0</v>
      </c>
      <c r="G139" s="56">
        <f>-(G134*'Emissions Assumptions'!E22)</f>
        <v>1515.400679116407</v>
      </c>
      <c r="H139" s="56">
        <f>-(H134*'Emissions Assumptions'!F22)</f>
        <v>2993.1500027336097</v>
      </c>
      <c r="I139" s="56">
        <f>-(I134*'Emissions Assumptions'!G22)</f>
        <v>2954.1988964646339</v>
      </c>
      <c r="J139" s="56">
        <f>-(J134*'Emissions Assumptions'!H22)</f>
        <v>2913.9648389382146</v>
      </c>
      <c r="K139" s="56">
        <f>-(K134*'Emissions Assumptions'!I22)</f>
        <v>2872.4658627677463</v>
      </c>
      <c r="L139" s="56">
        <f>-(L134*'Emissions Assumptions'!J22)</f>
        <v>2829.7212566540193</v>
      </c>
      <c r="M139" s="56">
        <f>-(M134*'Emissions Assumptions'!K22)</f>
        <v>2785.7515715840909</v>
      </c>
      <c r="N139" s="56">
        <f>-(N134*'Emissions Assumptions'!L22)</f>
        <v>2740.5786052194248</v>
      </c>
      <c r="O139" s="56">
        <f>-(O134*'Emissions Assumptions'!M22)</f>
        <v>2676.4572124950723</v>
      </c>
      <c r="P139" s="56">
        <f>-(P134*'Emissions Assumptions'!N22)</f>
        <v>2655.0591189426927</v>
      </c>
      <c r="Q139" s="56">
        <f>-(Q134*'Emissions Assumptions'!O22)</f>
        <v>2633.9813705915476</v>
      </c>
      <c r="R139" s="56">
        <f>-(R134*'Emissions Assumptions'!P22)</f>
        <v>2613.2861119222075</v>
      </c>
      <c r="S139" s="56">
        <f>-(S134*'Emissions Assumptions'!Q22)</f>
        <v>2593.0426685487569</v>
      </c>
      <c r="T139" s="56">
        <f>-(T134*'Emissions Assumptions'!R22)</f>
        <v>2573.3283489901983</v>
      </c>
      <c r="U139" s="56">
        <f>-(U134*'Emissions Assumptions'!S22)</f>
        <v>2554.2293314170547</v>
      </c>
      <c r="V139" s="56">
        <f>-(V134*'Emissions Assumptions'!T22)</f>
        <v>2535.8416436178491</v>
      </c>
      <c r="W139" s="56">
        <f>-(W134*'Emissions Assumptions'!U22)</f>
        <v>2518.2722450956267</v>
      </c>
      <c r="X139" s="56">
        <f>-(X134*'Emissions Assumptions'!V22)</f>
        <v>2501.6402208979589</v>
      </c>
      <c r="Y139" s="56">
        <f>-(Y134*'Emissions Assumptions'!W22)</f>
        <v>2486.0780975001248</v>
      </c>
      <c r="Z139" s="56">
        <f>-(Z134*'Emissions Assumptions'!X22)</f>
        <v>2508.3841289349152</v>
      </c>
      <c r="AA139" s="56">
        <f>-(AA134*'Emissions Assumptions'!Y22)</f>
        <v>2532.7844208615543</v>
      </c>
      <c r="AB139" s="56">
        <f>-(AB134*'Emissions Assumptions'!Z22)</f>
        <v>2559.5654681153273</v>
      </c>
      <c r="AC139" s="413">
        <f>-(AC134*'Emissions Assumptions'!AA22)</f>
        <v>2589.0529580249872</v>
      </c>
      <c r="AD139" s="381">
        <f t="shared" si="29"/>
        <v>60136.23505943401</v>
      </c>
    </row>
    <row r="140" spans="1:30" s="5" customFormat="1" ht="12">
      <c r="A140" s="58"/>
      <c r="B140" s="58"/>
      <c r="C140" s="62" t="s">
        <v>613</v>
      </c>
      <c r="D140" s="231"/>
      <c r="E140" s="239"/>
      <c r="F140" s="83">
        <f>SUM(F136:F139)</f>
        <v>0</v>
      </c>
      <c r="G140" s="83">
        <f t="shared" ref="G140:AC140" si="36">SUM(G136:G139)</f>
        <v>17810.731170894098</v>
      </c>
      <c r="H140" s="83">
        <f t="shared" si="36"/>
        <v>33743.402385048306</v>
      </c>
      <c r="I140" s="83">
        <f t="shared" si="36"/>
        <v>31818.078197666782</v>
      </c>
      <c r="J140" s="83">
        <f t="shared" si="36"/>
        <v>29965.854662431972</v>
      </c>
      <c r="K140" s="83">
        <f t="shared" si="36"/>
        <v>27980.296344332524</v>
      </c>
      <c r="L140" s="83">
        <f t="shared" si="36"/>
        <v>25904.441900116275</v>
      </c>
      <c r="M140" s="83">
        <f t="shared" si="36"/>
        <v>23779.459044988267</v>
      </c>
      <c r="N140" s="83">
        <f t="shared" si="36"/>
        <v>21604.682359093069</v>
      </c>
      <c r="O140" s="83">
        <f t="shared" si="36"/>
        <v>19250.737984816638</v>
      </c>
      <c r="P140" s="83">
        <f t="shared" si="36"/>
        <v>18867.342909923194</v>
      </c>
      <c r="Q140" s="83">
        <f t="shared" si="36"/>
        <v>18483.907938361161</v>
      </c>
      <c r="R140" s="83">
        <f t="shared" si="36"/>
        <v>18100.682849030243</v>
      </c>
      <c r="S140" s="83">
        <f t="shared" si="36"/>
        <v>17717.933333348239</v>
      </c>
      <c r="T140" s="83">
        <f t="shared" si="36"/>
        <v>17335.940671216591</v>
      </c>
      <c r="U140" s="83">
        <f t="shared" si="36"/>
        <v>16955.001020490745</v>
      </c>
      <c r="V140" s="83">
        <f t="shared" si="36"/>
        <v>16575.424220273559</v>
      </c>
      <c r="W140" s="83">
        <f t="shared" si="36"/>
        <v>16197.531988310271</v>
      </c>
      <c r="X140" s="83">
        <f t="shared" si="36"/>
        <v>15821.655369105745</v>
      </c>
      <c r="Y140" s="83">
        <f t="shared" si="36"/>
        <v>15448.131261495588</v>
      </c>
      <c r="Z140" s="83">
        <f t="shared" si="36"/>
        <v>15586.498637385705</v>
      </c>
      <c r="AA140" s="83">
        <f t="shared" si="36"/>
        <v>15737.788005556155</v>
      </c>
      <c r="AB140" s="83">
        <f t="shared" si="36"/>
        <v>15903.766089329492</v>
      </c>
      <c r="AC140" s="292">
        <f t="shared" si="36"/>
        <v>16086.441289753413</v>
      </c>
      <c r="AD140" s="378">
        <f t="shared" si="29"/>
        <v>466675.72963296808</v>
      </c>
    </row>
    <row r="141" spans="1:30" s="53" customFormat="1" ht="12">
      <c r="A141" s="45"/>
      <c r="B141" s="45"/>
      <c r="D141" s="228"/>
      <c r="E141" s="236"/>
      <c r="F141" s="45"/>
      <c r="G141" s="57"/>
      <c r="AC141" s="283"/>
      <c r="AD141" s="361">
        <f t="shared" si="29"/>
        <v>0</v>
      </c>
    </row>
    <row r="142" spans="1:30" s="53" customFormat="1" ht="12">
      <c r="A142" s="45"/>
      <c r="B142" s="45"/>
      <c r="C142" s="64" t="s">
        <v>91</v>
      </c>
      <c r="D142" s="228"/>
      <c r="E142" s="236"/>
      <c r="F142" s="45"/>
      <c r="G142" s="57"/>
      <c r="AC142" s="283"/>
      <c r="AD142" s="361">
        <f t="shared" si="29"/>
        <v>0</v>
      </c>
    </row>
    <row r="143" spans="1:30" s="53" customFormat="1" ht="24">
      <c r="A143" s="45"/>
      <c r="B143" s="45"/>
      <c r="C143" s="222" t="s">
        <v>132</v>
      </c>
      <c r="D143" s="279">
        <f>'Price Assumptions'!$B$22</f>
        <v>0.2</v>
      </c>
      <c r="E143" s="236"/>
      <c r="G143" s="97"/>
      <c r="H143" s="97"/>
      <c r="I143" s="97"/>
      <c r="J143" s="97"/>
      <c r="K143" s="97"/>
      <c r="L143" s="97"/>
      <c r="M143" s="97"/>
      <c r="N143" s="97"/>
      <c r="O143" s="97"/>
      <c r="P143" s="97"/>
      <c r="Q143" s="97"/>
      <c r="R143" s="97"/>
      <c r="S143" s="97"/>
      <c r="T143" s="97"/>
      <c r="U143" s="97"/>
      <c r="V143" s="97"/>
      <c r="W143" s="97"/>
      <c r="X143" s="97"/>
      <c r="Y143" s="97"/>
      <c r="AC143" s="283"/>
      <c r="AD143" s="361">
        <f t="shared" si="29"/>
        <v>0</v>
      </c>
    </row>
    <row r="144" spans="1:30" s="53" customFormat="1" ht="24">
      <c r="A144" s="45"/>
      <c r="B144" s="45"/>
      <c r="C144" s="303" t="s">
        <v>520</v>
      </c>
      <c r="D144" s="304">
        <f>'Price Assumptions'!$B$21</f>
        <v>5.4413625171743009E-2</v>
      </c>
      <c r="E144" s="236"/>
      <c r="G144" s="96"/>
      <c r="H144" s="96"/>
      <c r="I144" s="96"/>
      <c r="J144" s="96"/>
      <c r="K144" s="96"/>
      <c r="L144" s="96"/>
      <c r="M144" s="96"/>
      <c r="N144" s="96"/>
      <c r="O144" s="96"/>
      <c r="P144" s="96"/>
      <c r="Q144" s="96"/>
      <c r="R144" s="96"/>
      <c r="S144" s="96"/>
      <c r="T144" s="96"/>
      <c r="U144" s="96"/>
      <c r="V144" s="96"/>
      <c r="W144" s="96"/>
      <c r="X144" s="96"/>
      <c r="Y144" s="96"/>
      <c r="AC144" s="283"/>
      <c r="AD144" s="361">
        <f t="shared" si="29"/>
        <v>0</v>
      </c>
    </row>
    <row r="145" spans="1:30" s="5" customFormat="1" ht="12">
      <c r="A145" s="58"/>
      <c r="B145" s="58"/>
      <c r="C145" s="87" t="s">
        <v>521</v>
      </c>
      <c r="D145" s="231"/>
      <c r="E145" s="239"/>
      <c r="F145" s="83">
        <f>$D$144*$D$143*(F16+F17)</f>
        <v>0</v>
      </c>
      <c r="G145" s="83">
        <f t="shared" ref="G145:AC145" si="37">$D$144*$D$143*(G16+G17)</f>
        <v>2.2714040619771199</v>
      </c>
      <c r="H145" s="83">
        <f t="shared" si="37"/>
        <v>5.1642642753111794</v>
      </c>
      <c r="I145" s="83">
        <f t="shared" si="37"/>
        <v>5.8707356281737493</v>
      </c>
      <c r="J145" s="83">
        <f t="shared" si="37"/>
        <v>6.6738522621079177</v>
      </c>
      <c r="K145" s="83">
        <f t="shared" si="37"/>
        <v>7.5868352515642803</v>
      </c>
      <c r="L145" s="83">
        <f t="shared" si="37"/>
        <v>8.6247143139782736</v>
      </c>
      <c r="M145" s="83">
        <f t="shared" si="37"/>
        <v>9.8045752321305049</v>
      </c>
      <c r="N145" s="83">
        <f t="shared" si="37"/>
        <v>11.145841123885956</v>
      </c>
      <c r="O145" s="83">
        <f t="shared" si="37"/>
        <v>12.670592189633556</v>
      </c>
      <c r="P145" s="83">
        <f t="shared" si="37"/>
        <v>14.403929201175428</v>
      </c>
      <c r="Q145" s="83">
        <f t="shared" si="37"/>
        <v>16.374386715896225</v>
      </c>
      <c r="R145" s="83">
        <f t="shared" si="37"/>
        <v>18.614402818630829</v>
      </c>
      <c r="S145" s="83">
        <f t="shared" si="37"/>
        <v>21.160853124219528</v>
      </c>
      <c r="T145" s="83">
        <f t="shared" si="37"/>
        <v>24.055657831612759</v>
      </c>
      <c r="U145" s="83">
        <f t="shared" si="37"/>
        <v>27.346471822977392</v>
      </c>
      <c r="V145" s="83">
        <f t="shared" si="37"/>
        <v>31.087469168360702</v>
      </c>
      <c r="W145" s="83">
        <f t="shared" si="37"/>
        <v>35.340234950592446</v>
      </c>
      <c r="X145" s="83">
        <f t="shared" si="37"/>
        <v>40.1747790918335</v>
      </c>
      <c r="Y145" s="83">
        <f t="shared" si="37"/>
        <v>45.670688871596312</v>
      </c>
      <c r="Z145" s="83">
        <f t="shared" si="37"/>
        <v>51.918439109230697</v>
      </c>
      <c r="AA145" s="83">
        <f t="shared" si="37"/>
        <v>59.020881579373459</v>
      </c>
      <c r="AB145" s="83">
        <f t="shared" si="37"/>
        <v>67.094938179431736</v>
      </c>
      <c r="AC145" s="292">
        <f t="shared" si="37"/>
        <v>76.273525722377997</v>
      </c>
      <c r="AD145" s="378">
        <f t="shared" si="29"/>
        <v>598.34947252607162</v>
      </c>
    </row>
    <row r="146" spans="1:30" s="112" customFormat="1" ht="12">
      <c r="A146" s="109"/>
      <c r="B146" s="109"/>
      <c r="C146" s="110"/>
      <c r="D146" s="227"/>
      <c r="E146" s="235"/>
      <c r="F146" s="111"/>
      <c r="G146" s="111"/>
      <c r="H146" s="111"/>
      <c r="I146" s="111"/>
      <c r="J146" s="111"/>
      <c r="K146" s="111"/>
      <c r="L146" s="111"/>
      <c r="M146" s="111"/>
      <c r="N146" s="111"/>
      <c r="O146" s="111"/>
      <c r="P146" s="111"/>
      <c r="Q146" s="111"/>
      <c r="R146" s="111"/>
      <c r="S146" s="111"/>
      <c r="T146" s="111"/>
      <c r="U146" s="111"/>
      <c r="V146" s="111"/>
      <c r="W146" s="111"/>
      <c r="X146" s="111"/>
      <c r="Y146" s="111"/>
      <c r="Z146" s="111"/>
      <c r="AC146" s="282"/>
      <c r="AD146" s="360">
        <f t="shared" si="29"/>
        <v>0</v>
      </c>
    </row>
    <row r="147" spans="1:30" s="112" customFormat="1" ht="12">
      <c r="A147" s="58" t="s">
        <v>361</v>
      </c>
      <c r="B147" s="58"/>
      <c r="C147" s="110"/>
      <c r="D147" s="227"/>
      <c r="E147" s="235"/>
      <c r="F147" s="111"/>
      <c r="G147" s="111"/>
      <c r="H147" s="111"/>
      <c r="I147" s="111"/>
      <c r="J147" s="111"/>
      <c r="K147" s="111"/>
      <c r="L147" s="111"/>
      <c r="M147" s="111"/>
      <c r="N147" s="111"/>
      <c r="O147" s="111"/>
      <c r="P147" s="111"/>
      <c r="Q147" s="111"/>
      <c r="R147" s="111"/>
      <c r="S147" s="111"/>
      <c r="T147" s="111"/>
      <c r="U147" s="111"/>
      <c r="V147" s="111"/>
      <c r="W147" s="111"/>
      <c r="X147" s="111"/>
      <c r="Y147" s="111"/>
      <c r="Z147" s="111"/>
      <c r="AC147" s="282"/>
      <c r="AD147" s="360">
        <f t="shared" si="29"/>
        <v>0</v>
      </c>
    </row>
    <row r="148" spans="1:30" s="112" customFormat="1" ht="12">
      <c r="A148" s="58"/>
      <c r="B148" s="58"/>
      <c r="C148" s="46" t="s">
        <v>39</v>
      </c>
      <c r="D148" s="229"/>
      <c r="E148" s="236"/>
      <c r="F148" s="45"/>
      <c r="G148" s="111"/>
      <c r="H148" s="111"/>
      <c r="I148" s="111"/>
      <c r="J148" s="111"/>
      <c r="K148" s="111"/>
      <c r="L148" s="111"/>
      <c r="M148" s="111"/>
      <c r="N148" s="111"/>
      <c r="O148" s="111"/>
      <c r="P148" s="111"/>
      <c r="Q148" s="111"/>
      <c r="R148" s="111"/>
      <c r="S148" s="111"/>
      <c r="T148" s="111"/>
      <c r="U148" s="111"/>
      <c r="V148" s="111"/>
      <c r="W148" s="111"/>
      <c r="X148" s="111"/>
      <c r="Y148" s="111"/>
      <c r="Z148" s="111"/>
      <c r="AC148" s="282"/>
      <c r="AD148" s="360">
        <f t="shared" si="29"/>
        <v>0</v>
      </c>
    </row>
    <row r="149" spans="1:30" s="112" customFormat="1" ht="12">
      <c r="A149" s="58"/>
      <c r="B149" s="58" t="s">
        <v>228</v>
      </c>
      <c r="D149" s="229"/>
      <c r="E149" s="236"/>
      <c r="F149" s="45"/>
      <c r="G149" s="111"/>
      <c r="H149" s="111"/>
      <c r="I149" s="111"/>
      <c r="J149" s="111"/>
      <c r="K149" s="111"/>
      <c r="L149" s="111"/>
      <c r="M149" s="111"/>
      <c r="N149" s="111"/>
      <c r="O149" s="111"/>
      <c r="P149" s="111"/>
      <c r="Q149" s="111"/>
      <c r="R149" s="111"/>
      <c r="S149" s="111"/>
      <c r="T149" s="111"/>
      <c r="U149" s="111"/>
      <c r="V149" s="111"/>
      <c r="W149" s="111"/>
      <c r="X149" s="111"/>
      <c r="Y149" s="111"/>
      <c r="Z149" s="111"/>
      <c r="AC149" s="282"/>
      <c r="AD149" s="360">
        <f t="shared" si="29"/>
        <v>0</v>
      </c>
    </row>
    <row r="150" spans="1:30" s="112" customFormat="1" ht="12">
      <c r="A150" s="58"/>
      <c r="B150" s="468" t="s">
        <v>609</v>
      </c>
      <c r="C150" s="78" t="s">
        <v>580</v>
      </c>
      <c r="D150" s="229"/>
      <c r="E150" s="236"/>
      <c r="F150" s="45"/>
      <c r="G150" s="111"/>
      <c r="H150" s="111"/>
      <c r="I150" s="55"/>
      <c r="J150" s="55"/>
      <c r="K150" s="55"/>
      <c r="L150" s="55"/>
      <c r="M150" s="55"/>
      <c r="N150" s="55"/>
      <c r="O150" s="55"/>
      <c r="P150" s="55"/>
      <c r="Q150" s="55"/>
      <c r="R150" s="55"/>
      <c r="S150" s="55"/>
      <c r="T150" s="55"/>
      <c r="U150" s="55"/>
      <c r="V150" s="55"/>
      <c r="W150" s="55"/>
      <c r="X150" s="55"/>
      <c r="Y150" s="55"/>
      <c r="Z150" s="55"/>
      <c r="AA150" s="55"/>
      <c r="AB150" s="55"/>
      <c r="AC150" s="290"/>
      <c r="AD150" s="376">
        <f t="shared" si="29"/>
        <v>0</v>
      </c>
    </row>
    <row r="151" spans="1:30" s="112" customFormat="1" ht="12">
      <c r="A151" s="58"/>
      <c r="C151" s="78" t="s">
        <v>559</v>
      </c>
      <c r="D151" s="229">
        <f>'Mode Operating Assumptions'!D191</f>
        <v>8.2555465307736857E-8</v>
      </c>
      <c r="E151" s="236"/>
      <c r="F151" s="55">
        <f>$D151*(F$11+F$12)</f>
        <v>0</v>
      </c>
      <c r="G151" s="55">
        <f t="shared" ref="G151:AC151" si="38">$D151*(G$11+G$12)</f>
        <v>3.0668094463774526E-3</v>
      </c>
      <c r="H151" s="55">
        <f t="shared" si="38"/>
        <v>6.1981170464902183E-3</v>
      </c>
      <c r="I151" s="55">
        <f t="shared" si="38"/>
        <v>6.2626152002255289E-3</v>
      </c>
      <c r="J151" s="55">
        <f t="shared" si="38"/>
        <v>6.3271133539608395E-3</v>
      </c>
      <c r="K151" s="55">
        <f t="shared" si="38"/>
        <v>6.3916115076961526E-3</v>
      </c>
      <c r="L151" s="55">
        <f t="shared" si="38"/>
        <v>6.4561096614314641E-3</v>
      </c>
      <c r="M151" s="55">
        <f t="shared" si="38"/>
        <v>6.5206078151667755E-3</v>
      </c>
      <c r="N151" s="55">
        <f t="shared" si="38"/>
        <v>6.5851059689020861E-3</v>
      </c>
      <c r="O151" s="55">
        <f t="shared" si="38"/>
        <v>6.6051637163381987E-3</v>
      </c>
      <c r="P151" s="55">
        <f t="shared" si="38"/>
        <v>6.6252214637743112E-3</v>
      </c>
      <c r="Q151" s="55">
        <f t="shared" si="38"/>
        <v>6.645279211210422E-3</v>
      </c>
      <c r="R151" s="55">
        <f t="shared" si="38"/>
        <v>6.6653369586465354E-3</v>
      </c>
      <c r="S151" s="55">
        <f t="shared" si="38"/>
        <v>6.6853947060826471E-3</v>
      </c>
      <c r="T151" s="55">
        <f t="shared" si="38"/>
        <v>6.7054524535187579E-3</v>
      </c>
      <c r="U151" s="55">
        <f t="shared" si="38"/>
        <v>6.7255102009548704E-3</v>
      </c>
      <c r="V151" s="55">
        <f t="shared" si="38"/>
        <v>6.7455679483909821E-3</v>
      </c>
      <c r="W151" s="55">
        <f t="shared" si="38"/>
        <v>6.7656256958270938E-3</v>
      </c>
      <c r="X151" s="55">
        <f t="shared" si="38"/>
        <v>6.7856834432632072E-3</v>
      </c>
      <c r="Y151" s="55">
        <f t="shared" si="38"/>
        <v>6.805741190699318E-3</v>
      </c>
      <c r="Z151" s="55">
        <f t="shared" si="38"/>
        <v>6.8257989381354297E-3</v>
      </c>
      <c r="AA151" s="55">
        <f t="shared" si="38"/>
        <v>6.8458566855715414E-3</v>
      </c>
      <c r="AB151" s="55">
        <f t="shared" si="38"/>
        <v>6.8659144330076539E-3</v>
      </c>
      <c r="AC151" s="290">
        <f t="shared" si="38"/>
        <v>6.8859721804437665E-3</v>
      </c>
      <c r="AD151" s="376">
        <f t="shared" si="29"/>
        <v>0.14899160922611523</v>
      </c>
    </row>
    <row r="152" spans="1:30" s="112" customFormat="1" ht="12">
      <c r="A152" s="58"/>
      <c r="C152" s="49" t="s">
        <v>40</v>
      </c>
      <c r="D152" s="328">
        <f>-'Mode Operating Assumptions'!C181</f>
        <v>-6200000</v>
      </c>
      <c r="E152" s="236"/>
      <c r="F152" s="275">
        <f>F151*$D152</f>
        <v>0</v>
      </c>
      <c r="G152" s="275">
        <f t="shared" ref="G152:AC152" si="39">G151*$D152</f>
        <v>-19014.218567540207</v>
      </c>
      <c r="H152" s="275">
        <f t="shared" si="39"/>
        <v>-38428.325688239354</v>
      </c>
      <c r="I152" s="275">
        <f t="shared" si="39"/>
        <v>-38828.21424139828</v>
      </c>
      <c r="J152" s="275">
        <f t="shared" si="39"/>
        <v>-39228.102794557206</v>
      </c>
      <c r="K152" s="275">
        <f t="shared" si="39"/>
        <v>-39627.991347716146</v>
      </c>
      <c r="L152" s="275">
        <f t="shared" si="39"/>
        <v>-40027.879900875079</v>
      </c>
      <c r="M152" s="275">
        <f t="shared" si="39"/>
        <v>-40427.768454034005</v>
      </c>
      <c r="N152" s="275">
        <f t="shared" si="39"/>
        <v>-40827.657007192931</v>
      </c>
      <c r="O152" s="275">
        <f t="shared" si="39"/>
        <v>-40952.015041296829</v>
      </c>
      <c r="P152" s="275">
        <f t="shared" si="39"/>
        <v>-41076.373075400727</v>
      </c>
      <c r="Q152" s="275">
        <f t="shared" si="39"/>
        <v>-41200.731109504617</v>
      </c>
      <c r="R152" s="275">
        <f t="shared" si="39"/>
        <v>-41325.089143608522</v>
      </c>
      <c r="S152" s="275">
        <f t="shared" si="39"/>
        <v>-41449.447177712413</v>
      </c>
      <c r="T152" s="275">
        <f t="shared" si="39"/>
        <v>-41573.805211816296</v>
      </c>
      <c r="U152" s="275">
        <f t="shared" si="39"/>
        <v>-41698.163245920194</v>
      </c>
      <c r="V152" s="275">
        <f t="shared" si="39"/>
        <v>-41822.521280024092</v>
      </c>
      <c r="W152" s="275">
        <f t="shared" si="39"/>
        <v>-41946.879314127982</v>
      </c>
      <c r="X152" s="275">
        <f t="shared" si="39"/>
        <v>-42071.237348231887</v>
      </c>
      <c r="Y152" s="275">
        <f t="shared" si="39"/>
        <v>-42195.59538233577</v>
      </c>
      <c r="Z152" s="275">
        <f t="shared" si="39"/>
        <v>-42319.953416439661</v>
      </c>
      <c r="AA152" s="275">
        <f t="shared" si="39"/>
        <v>-42444.311450543559</v>
      </c>
      <c r="AB152" s="275">
        <f t="shared" si="39"/>
        <v>-42568.669484647457</v>
      </c>
      <c r="AC152" s="288">
        <f t="shared" si="39"/>
        <v>-42693.027518751354</v>
      </c>
      <c r="AD152" s="383">
        <f t="shared" si="29"/>
        <v>-923747.97720191465</v>
      </c>
    </row>
    <row r="153" spans="1:30" s="112" customFormat="1" ht="12">
      <c r="A153" s="58"/>
      <c r="C153" s="78" t="s">
        <v>560</v>
      </c>
      <c r="D153" s="229">
        <f>'Mode Operating Assumptions'!D192</f>
        <v>2.5164317528336415E-6</v>
      </c>
      <c r="E153" s="236"/>
      <c r="F153" s="55">
        <f>$D153*(F$11+F$12)</f>
        <v>0</v>
      </c>
      <c r="G153" s="55">
        <f t="shared" ref="G153:AC153" si="40">$D153*(G$11+G$12)</f>
        <v>9.3481596184900068E-2</v>
      </c>
      <c r="H153" s="55">
        <f t="shared" si="40"/>
        <v>0.18892920638781421</v>
      </c>
      <c r="I153" s="55">
        <f t="shared" si="40"/>
        <v>0.19089522040582824</v>
      </c>
      <c r="J153" s="55">
        <f t="shared" si="40"/>
        <v>0.19286123442384226</v>
      </c>
      <c r="K153" s="55">
        <f t="shared" si="40"/>
        <v>0.19482724844185637</v>
      </c>
      <c r="L153" s="55">
        <f t="shared" si="40"/>
        <v>0.19679326245987042</v>
      </c>
      <c r="M153" s="55">
        <f t="shared" si="40"/>
        <v>0.19875927647788449</v>
      </c>
      <c r="N153" s="55">
        <f t="shared" si="40"/>
        <v>0.20072529049589852</v>
      </c>
      <c r="O153" s="55">
        <f t="shared" si="40"/>
        <v>0.20133668493659848</v>
      </c>
      <c r="P153" s="55">
        <f t="shared" si="40"/>
        <v>0.20194807937729847</v>
      </c>
      <c r="Q153" s="55">
        <f t="shared" si="40"/>
        <v>0.20255947381799841</v>
      </c>
      <c r="R153" s="55">
        <f t="shared" si="40"/>
        <v>0.20317086825869846</v>
      </c>
      <c r="S153" s="55">
        <f t="shared" si="40"/>
        <v>0.20378226269939839</v>
      </c>
      <c r="T153" s="55">
        <f t="shared" si="40"/>
        <v>0.20439365714009833</v>
      </c>
      <c r="U153" s="55">
        <f t="shared" si="40"/>
        <v>0.20500505158079832</v>
      </c>
      <c r="V153" s="55">
        <f t="shared" si="40"/>
        <v>0.20561644602149831</v>
      </c>
      <c r="W153" s="55">
        <f t="shared" si="40"/>
        <v>0.20622784046219825</v>
      </c>
      <c r="X153" s="55">
        <f t="shared" si="40"/>
        <v>0.20683923490289827</v>
      </c>
      <c r="Y153" s="55">
        <f t="shared" si="40"/>
        <v>0.2074506293435982</v>
      </c>
      <c r="Z153" s="55">
        <f t="shared" si="40"/>
        <v>0.20806202378429817</v>
      </c>
      <c r="AA153" s="55">
        <f t="shared" si="40"/>
        <v>0.20867341822499816</v>
      </c>
      <c r="AB153" s="55">
        <f t="shared" si="40"/>
        <v>0.20928481266569812</v>
      </c>
      <c r="AC153" s="290">
        <f t="shared" si="40"/>
        <v>0.20989620710639811</v>
      </c>
      <c r="AD153" s="376">
        <f t="shared" si="29"/>
        <v>4.5415190256003699</v>
      </c>
    </row>
    <row r="154" spans="1:30" s="112" customFormat="1" ht="12">
      <c r="A154" s="58"/>
      <c r="C154" s="49" t="s">
        <v>41</v>
      </c>
      <c r="D154" s="328">
        <f>-'Mode Operating Assumptions'!C177</f>
        <v>-291400</v>
      </c>
      <c r="E154" s="236"/>
      <c r="F154" s="275">
        <f>F153*$D154</f>
        <v>0</v>
      </c>
      <c r="G154" s="275">
        <f t="shared" ref="G154:AC154" si="41">G153*$D154</f>
        <v>-27240.537128279881</v>
      </c>
      <c r="H154" s="275">
        <f t="shared" si="41"/>
        <v>-55053.970741409059</v>
      </c>
      <c r="I154" s="275">
        <f t="shared" si="41"/>
        <v>-55626.86722625835</v>
      </c>
      <c r="J154" s="275">
        <f t="shared" si="41"/>
        <v>-56199.763711107633</v>
      </c>
      <c r="K154" s="275">
        <f t="shared" si="41"/>
        <v>-56772.660195956945</v>
      </c>
      <c r="L154" s="275">
        <f t="shared" si="41"/>
        <v>-57345.556680806236</v>
      </c>
      <c r="M154" s="275">
        <f t="shared" si="41"/>
        <v>-57918.453165655541</v>
      </c>
      <c r="N154" s="275">
        <f t="shared" si="41"/>
        <v>-58491.349650504832</v>
      </c>
      <c r="O154" s="275">
        <f t="shared" si="41"/>
        <v>-58669.509990524799</v>
      </c>
      <c r="P154" s="275">
        <f t="shared" si="41"/>
        <v>-58847.670330544774</v>
      </c>
      <c r="Q154" s="275">
        <f t="shared" si="41"/>
        <v>-59025.830670564734</v>
      </c>
      <c r="R154" s="275">
        <f t="shared" si="41"/>
        <v>-59203.99101058473</v>
      </c>
      <c r="S154" s="275">
        <f t="shared" si="41"/>
        <v>-59382.15135060469</v>
      </c>
      <c r="T154" s="275">
        <f t="shared" si="41"/>
        <v>-59560.311690624651</v>
      </c>
      <c r="U154" s="275">
        <f t="shared" si="41"/>
        <v>-59738.472030644632</v>
      </c>
      <c r="V154" s="275">
        <f t="shared" si="41"/>
        <v>-59916.632370664607</v>
      </c>
      <c r="W154" s="275">
        <f t="shared" si="41"/>
        <v>-60094.792710684567</v>
      </c>
      <c r="X154" s="275">
        <f t="shared" si="41"/>
        <v>-60272.953050704557</v>
      </c>
      <c r="Y154" s="275">
        <f t="shared" si="41"/>
        <v>-60451.113390724517</v>
      </c>
      <c r="Z154" s="275">
        <f t="shared" si="41"/>
        <v>-60629.273730744484</v>
      </c>
      <c r="AA154" s="275">
        <f t="shared" si="41"/>
        <v>-60807.434070764466</v>
      </c>
      <c r="AB154" s="275">
        <f t="shared" si="41"/>
        <v>-60985.594410784433</v>
      </c>
      <c r="AC154" s="288">
        <f t="shared" si="41"/>
        <v>-61163.754750804408</v>
      </c>
      <c r="AD154" s="383">
        <f t="shared" si="29"/>
        <v>-1323398.6440599479</v>
      </c>
    </row>
    <row r="155" spans="1:30" s="112" customFormat="1" ht="12">
      <c r="A155" s="58"/>
      <c r="C155" s="49"/>
      <c r="D155" s="328"/>
      <c r="E155" s="236"/>
      <c r="F155" s="275"/>
      <c r="G155" s="275"/>
      <c r="H155" s="275"/>
      <c r="I155" s="275"/>
      <c r="J155" s="275"/>
      <c r="K155" s="275"/>
      <c r="L155" s="275"/>
      <c r="M155" s="275"/>
      <c r="N155" s="275"/>
      <c r="O155" s="275"/>
      <c r="P155" s="275"/>
      <c r="Q155" s="275"/>
      <c r="R155" s="275"/>
      <c r="S155" s="275"/>
      <c r="T155" s="275"/>
      <c r="U155" s="275"/>
      <c r="V155" s="275"/>
      <c r="W155" s="275"/>
      <c r="X155" s="275"/>
      <c r="Y155" s="275"/>
      <c r="Z155" s="275"/>
      <c r="AA155" s="275"/>
      <c r="AB155" s="275"/>
      <c r="AC155" s="288"/>
      <c r="AD155" s="383"/>
    </row>
    <row r="156" spans="1:30" s="112" customFormat="1" ht="12">
      <c r="A156" s="58"/>
      <c r="B156" s="469" t="s">
        <v>610</v>
      </c>
      <c r="C156" s="78" t="s">
        <v>608</v>
      </c>
      <c r="D156" s="467">
        <v>-0.4</v>
      </c>
      <c r="E156" s="236"/>
      <c r="F156" s="45"/>
      <c r="G156" s="45"/>
      <c r="H156" s="45"/>
      <c r="I156" s="45"/>
      <c r="J156" s="45"/>
      <c r="K156" s="45"/>
      <c r="L156" s="45"/>
      <c r="M156" s="45"/>
      <c r="N156" s="45"/>
      <c r="O156" s="45"/>
      <c r="P156" s="45"/>
      <c r="Q156" s="45"/>
      <c r="R156" s="45"/>
      <c r="S156" s="45"/>
      <c r="T156" s="45"/>
      <c r="U156" s="45"/>
      <c r="V156" s="45"/>
      <c r="W156" s="45"/>
      <c r="X156" s="45"/>
      <c r="Y156" s="45"/>
      <c r="Z156" s="45"/>
      <c r="AA156" s="45"/>
      <c r="AB156" s="45"/>
      <c r="AC156" s="283"/>
      <c r="AD156" s="360">
        <f>SUM(F156:AC156)</f>
        <v>0</v>
      </c>
    </row>
    <row r="157" spans="1:30" s="112" customFormat="1" ht="12">
      <c r="A157" s="58"/>
      <c r="B157" s="58"/>
      <c r="C157" s="78" t="s">
        <v>559</v>
      </c>
      <c r="D157" s="229">
        <f>D151*D$156</f>
        <v>-3.3022186123094741E-8</v>
      </c>
      <c r="E157" s="236"/>
      <c r="F157" s="55">
        <f>$D157*(F$10+F$11+F$12)</f>
        <v>0</v>
      </c>
      <c r="G157" s="55">
        <f t="shared" ref="G157:AC157" si="42">$D157*(G$10+G$11+G$12)</f>
        <v>-1.3493961564060793E-2</v>
      </c>
      <c r="H157" s="55">
        <f t="shared" si="42"/>
        <v>-2.7271715004556957E-2</v>
      </c>
      <c r="I157" s="55">
        <f t="shared" si="42"/>
        <v>-2.7555506880992328E-2</v>
      </c>
      <c r="J157" s="55">
        <f t="shared" si="42"/>
        <v>-2.7839298757427692E-2</v>
      </c>
      <c r="K157" s="55">
        <f t="shared" si="42"/>
        <v>-2.812309063386307E-2</v>
      </c>
      <c r="L157" s="55">
        <f t="shared" si="42"/>
        <v>-2.840688251029844E-2</v>
      </c>
      <c r="M157" s="55">
        <f t="shared" si="42"/>
        <v>-2.8690674386733818E-2</v>
      </c>
      <c r="N157" s="55">
        <f t="shared" si="42"/>
        <v>-2.8974466263169178E-2</v>
      </c>
      <c r="O157" s="55">
        <f t="shared" si="42"/>
        <v>-2.9062720351888074E-2</v>
      </c>
      <c r="P157" s="55">
        <f t="shared" si="42"/>
        <v>-2.9150974440606967E-2</v>
      </c>
      <c r="Q157" s="55">
        <f t="shared" si="42"/>
        <v>-2.9239228529325857E-2</v>
      </c>
      <c r="R157" s="55">
        <f t="shared" si="42"/>
        <v>-2.9327482618044753E-2</v>
      </c>
      <c r="S157" s="55">
        <f t="shared" si="42"/>
        <v>-2.9415736706763645E-2</v>
      </c>
      <c r="T157" s="55">
        <f t="shared" si="42"/>
        <v>-2.9503990795482535E-2</v>
      </c>
      <c r="U157" s="55">
        <f t="shared" si="42"/>
        <v>-2.9592244884201431E-2</v>
      </c>
      <c r="V157" s="55">
        <f t="shared" si="42"/>
        <v>-2.968049897292032E-2</v>
      </c>
      <c r="W157" s="55">
        <f t="shared" si="42"/>
        <v>-2.9768753061639213E-2</v>
      </c>
      <c r="X157" s="55">
        <f t="shared" si="42"/>
        <v>-2.9857007150358109E-2</v>
      </c>
      <c r="Y157" s="55">
        <f t="shared" si="42"/>
        <v>-2.9945261239076995E-2</v>
      </c>
      <c r="Z157" s="55">
        <f t="shared" si="42"/>
        <v>-3.0033515327795891E-2</v>
      </c>
      <c r="AA157" s="55">
        <f t="shared" si="42"/>
        <v>-3.0121769416514784E-2</v>
      </c>
      <c r="AB157" s="55">
        <f t="shared" si="42"/>
        <v>-3.0210023505233677E-2</v>
      </c>
      <c r="AC157" s="290">
        <f t="shared" si="42"/>
        <v>-3.029827759395257E-2</v>
      </c>
      <c r="AD157" s="361">
        <f>SUM(F157:AC157)</f>
        <v>-0.6555630805949072</v>
      </c>
    </row>
    <row r="158" spans="1:30" s="112" customFormat="1" ht="12">
      <c r="A158" s="58"/>
      <c r="B158" s="58"/>
      <c r="C158" s="49" t="s">
        <v>40</v>
      </c>
      <c r="D158" s="328">
        <f>D152</f>
        <v>-6200000</v>
      </c>
      <c r="E158" s="236"/>
      <c r="F158" s="337">
        <f>F157*$D158</f>
        <v>0</v>
      </c>
      <c r="G158" s="337">
        <f t="shared" ref="G158:AC158" si="43">G157*$D158</f>
        <v>83662.56169717692</v>
      </c>
      <c r="H158" s="337">
        <f t="shared" si="43"/>
        <v>169084.63302825313</v>
      </c>
      <c r="I158" s="337">
        <f t="shared" si="43"/>
        <v>170844.14266215244</v>
      </c>
      <c r="J158" s="337">
        <f t="shared" si="43"/>
        <v>172603.6522960517</v>
      </c>
      <c r="K158" s="337">
        <f t="shared" si="43"/>
        <v>174363.16192995102</v>
      </c>
      <c r="L158" s="337">
        <f t="shared" si="43"/>
        <v>176122.67156385034</v>
      </c>
      <c r="M158" s="337">
        <f t="shared" si="43"/>
        <v>177882.18119774968</v>
      </c>
      <c r="N158" s="337">
        <f t="shared" si="43"/>
        <v>179641.69083164891</v>
      </c>
      <c r="O158" s="337">
        <f t="shared" si="43"/>
        <v>180188.86618170605</v>
      </c>
      <c r="P158" s="337">
        <f t="shared" si="43"/>
        <v>180736.04153176319</v>
      </c>
      <c r="Q158" s="337">
        <f t="shared" si="43"/>
        <v>181283.21688182032</v>
      </c>
      <c r="R158" s="337">
        <f t="shared" si="43"/>
        <v>181830.39223187746</v>
      </c>
      <c r="S158" s="337">
        <f t="shared" si="43"/>
        <v>182377.56758193459</v>
      </c>
      <c r="T158" s="337">
        <f t="shared" si="43"/>
        <v>182924.74293199173</v>
      </c>
      <c r="U158" s="337">
        <f t="shared" si="43"/>
        <v>183471.91828204886</v>
      </c>
      <c r="V158" s="337">
        <f t="shared" si="43"/>
        <v>184019.093632106</v>
      </c>
      <c r="W158" s="337">
        <f t="shared" si="43"/>
        <v>184566.26898216311</v>
      </c>
      <c r="X158" s="337">
        <f t="shared" si="43"/>
        <v>185113.44433222027</v>
      </c>
      <c r="Y158" s="337">
        <f t="shared" si="43"/>
        <v>185660.61968227738</v>
      </c>
      <c r="Z158" s="337">
        <f t="shared" si="43"/>
        <v>186207.79503233451</v>
      </c>
      <c r="AA158" s="337">
        <f t="shared" si="43"/>
        <v>186754.97038239165</v>
      </c>
      <c r="AB158" s="337">
        <f t="shared" si="43"/>
        <v>187302.14573244879</v>
      </c>
      <c r="AC158" s="414">
        <f t="shared" si="43"/>
        <v>187849.32108250592</v>
      </c>
      <c r="AD158" s="382">
        <f>SUM(F158:AC158)</f>
        <v>4064491.0996884243</v>
      </c>
    </row>
    <row r="159" spans="1:30" s="112" customFormat="1" ht="12">
      <c r="A159" s="58"/>
      <c r="B159" s="58"/>
      <c r="C159" s="78" t="s">
        <v>560</v>
      </c>
      <c r="D159" s="229">
        <f>D153*D$156</f>
        <v>-1.0065727011334566E-6</v>
      </c>
      <c r="E159" s="236"/>
      <c r="F159" s="55">
        <f>$D159*(F$10+F$11+F$12)</f>
        <v>0</v>
      </c>
      <c r="G159" s="55">
        <f t="shared" ref="G159:AC159" si="44">$D159*(G$10+G$11+G$12)</f>
        <v>-0.41131902321356029</v>
      </c>
      <c r="H159" s="55">
        <f t="shared" si="44"/>
        <v>-0.83128850810638244</v>
      </c>
      <c r="I159" s="55">
        <f t="shared" si="44"/>
        <v>-0.83993896978564431</v>
      </c>
      <c r="J159" s="55">
        <f t="shared" si="44"/>
        <v>-0.84858943146490595</v>
      </c>
      <c r="K159" s="55">
        <f t="shared" si="44"/>
        <v>-0.85723989314416804</v>
      </c>
      <c r="L159" s="55">
        <f t="shared" si="44"/>
        <v>-0.86589035482342991</v>
      </c>
      <c r="M159" s="55">
        <f t="shared" si="44"/>
        <v>-0.87454081650269189</v>
      </c>
      <c r="N159" s="55">
        <f t="shared" si="44"/>
        <v>-0.88319127818195342</v>
      </c>
      <c r="O159" s="55">
        <f t="shared" si="44"/>
        <v>-0.88588141372103346</v>
      </c>
      <c r="P159" s="55">
        <f t="shared" si="44"/>
        <v>-0.88857154926011328</v>
      </c>
      <c r="Q159" s="55">
        <f t="shared" si="44"/>
        <v>-0.8912616847991931</v>
      </c>
      <c r="R159" s="55">
        <f t="shared" si="44"/>
        <v>-0.89395182033827303</v>
      </c>
      <c r="S159" s="55">
        <f t="shared" si="44"/>
        <v>-0.89664195587735296</v>
      </c>
      <c r="T159" s="55">
        <f t="shared" si="44"/>
        <v>-0.89933209141643267</v>
      </c>
      <c r="U159" s="55">
        <f t="shared" si="44"/>
        <v>-0.90202222695551271</v>
      </c>
      <c r="V159" s="55">
        <f t="shared" si="44"/>
        <v>-0.90471236249459253</v>
      </c>
      <c r="W159" s="55">
        <f t="shared" si="44"/>
        <v>-0.90740249803367234</v>
      </c>
      <c r="X159" s="55">
        <f t="shared" si="44"/>
        <v>-0.91009263357275239</v>
      </c>
      <c r="Y159" s="55">
        <f t="shared" si="44"/>
        <v>-0.91278276911183198</v>
      </c>
      <c r="Z159" s="55">
        <f t="shared" si="44"/>
        <v>-0.91547290465091202</v>
      </c>
      <c r="AA159" s="55">
        <f t="shared" si="44"/>
        <v>-0.91816304018999184</v>
      </c>
      <c r="AB159" s="55">
        <f t="shared" si="44"/>
        <v>-0.92085317572907177</v>
      </c>
      <c r="AC159" s="290">
        <f t="shared" si="44"/>
        <v>-0.9235433112681517</v>
      </c>
      <c r="AD159" s="361">
        <f>SUM(F159:AC159)</f>
        <v>-19.982683712641624</v>
      </c>
    </row>
    <row r="160" spans="1:30" s="112" customFormat="1" ht="12">
      <c r="A160" s="58"/>
      <c r="B160" s="58"/>
      <c r="C160" s="49" t="s">
        <v>41</v>
      </c>
      <c r="D160" s="328">
        <f>D154</f>
        <v>-291400</v>
      </c>
      <c r="E160" s="236"/>
      <c r="F160" s="337">
        <f>F159*$D160</f>
        <v>0</v>
      </c>
      <c r="G160" s="337">
        <f t="shared" ref="G160:AC160" si="45">G159*$D160</f>
        <v>119858.36336443147</v>
      </c>
      <c r="H160" s="337">
        <f t="shared" si="45"/>
        <v>242237.47126219983</v>
      </c>
      <c r="I160" s="337">
        <f t="shared" si="45"/>
        <v>244758.21579553676</v>
      </c>
      <c r="J160" s="337">
        <f t="shared" si="45"/>
        <v>247278.9603288736</v>
      </c>
      <c r="K160" s="337">
        <f t="shared" si="45"/>
        <v>249799.70486221058</v>
      </c>
      <c r="L160" s="337">
        <f t="shared" si="45"/>
        <v>252320.44939554748</v>
      </c>
      <c r="M160" s="337">
        <f t="shared" si="45"/>
        <v>254841.19392888443</v>
      </c>
      <c r="N160" s="337">
        <f t="shared" si="45"/>
        <v>257361.93846222124</v>
      </c>
      <c r="O160" s="337">
        <f t="shared" si="45"/>
        <v>258145.84395830915</v>
      </c>
      <c r="P160" s="337">
        <f t="shared" si="45"/>
        <v>258929.74945439701</v>
      </c>
      <c r="Q160" s="337">
        <f t="shared" si="45"/>
        <v>259713.65495048487</v>
      </c>
      <c r="R160" s="337">
        <f t="shared" si="45"/>
        <v>260497.56044657275</v>
      </c>
      <c r="S160" s="337">
        <f t="shared" si="45"/>
        <v>261281.46594266064</v>
      </c>
      <c r="T160" s="337">
        <f t="shared" si="45"/>
        <v>262065.37143874847</v>
      </c>
      <c r="U160" s="337">
        <f t="shared" si="45"/>
        <v>262849.27693483641</v>
      </c>
      <c r="V160" s="337">
        <f t="shared" si="45"/>
        <v>263633.18243092427</v>
      </c>
      <c r="W160" s="337">
        <f t="shared" si="45"/>
        <v>264417.08792701212</v>
      </c>
      <c r="X160" s="337">
        <f t="shared" si="45"/>
        <v>265200.99342310004</v>
      </c>
      <c r="Y160" s="337">
        <f t="shared" si="45"/>
        <v>265984.89891918784</v>
      </c>
      <c r="Z160" s="337">
        <f t="shared" si="45"/>
        <v>266768.80441527575</v>
      </c>
      <c r="AA160" s="337">
        <f t="shared" si="45"/>
        <v>267552.70991136361</v>
      </c>
      <c r="AB160" s="337">
        <f t="shared" si="45"/>
        <v>268336.61540745152</v>
      </c>
      <c r="AC160" s="414">
        <f t="shared" si="45"/>
        <v>269120.52090353938</v>
      </c>
      <c r="AD160" s="382">
        <f>SUM(F160:AC160)</f>
        <v>5822954.033863768</v>
      </c>
    </row>
    <row r="161" spans="1:30" s="112" customFormat="1" ht="12">
      <c r="A161" s="58"/>
      <c r="C161" s="49"/>
      <c r="D161" s="328"/>
      <c r="E161" s="236"/>
      <c r="F161" s="275"/>
      <c r="G161" s="275"/>
      <c r="H161" s="275"/>
      <c r="I161" s="275"/>
      <c r="J161" s="275"/>
      <c r="K161" s="275"/>
      <c r="L161" s="275"/>
      <c r="M161" s="275"/>
      <c r="N161" s="275"/>
      <c r="O161" s="275"/>
      <c r="P161" s="275"/>
      <c r="Q161" s="275"/>
      <c r="R161" s="275"/>
      <c r="S161" s="275"/>
      <c r="T161" s="275"/>
      <c r="U161" s="275"/>
      <c r="V161" s="275"/>
      <c r="W161" s="275"/>
      <c r="X161" s="275"/>
      <c r="Y161" s="275"/>
      <c r="Z161" s="275"/>
      <c r="AA161" s="275"/>
      <c r="AB161" s="275"/>
      <c r="AC161" s="288"/>
      <c r="AD161" s="383"/>
    </row>
    <row r="162" spans="1:30" s="112" customFormat="1" ht="12">
      <c r="A162" s="58"/>
      <c r="B162" s="58" t="s">
        <v>225</v>
      </c>
      <c r="D162" s="229"/>
      <c r="E162" s="236"/>
      <c r="AC162" s="282"/>
      <c r="AD162" s="360">
        <f t="shared" si="29"/>
        <v>0</v>
      </c>
    </row>
    <row r="163" spans="1:30" s="112" customFormat="1" ht="12">
      <c r="A163" s="58"/>
      <c r="B163" s="468" t="s">
        <v>609</v>
      </c>
      <c r="C163" s="78" t="s">
        <v>535</v>
      </c>
      <c r="D163" s="229"/>
      <c r="E163" s="236"/>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290"/>
      <c r="AD163" s="376">
        <f t="shared" si="29"/>
        <v>0</v>
      </c>
    </row>
    <row r="164" spans="1:30" s="112" customFormat="1" ht="12">
      <c r="A164" s="58"/>
      <c r="C164" s="78" t="s">
        <v>559</v>
      </c>
      <c r="D164" s="229">
        <f>'Mode Operating Assumptions'!$D$197</f>
        <v>1.8722590666405648E-7</v>
      </c>
      <c r="E164" s="236"/>
      <c r="F164" s="55">
        <f>$D164*(F$16+F$17)</f>
        <v>0</v>
      </c>
      <c r="G164" s="55">
        <f t="shared" ref="G164:AC164" si="46">$D164*(G$16+G$17)</f>
        <v>3.9077132203730418E-5</v>
      </c>
      <c r="H164" s="55">
        <f t="shared" si="46"/>
        <v>8.8845767778401478E-5</v>
      </c>
      <c r="I164" s="55">
        <f t="shared" si="46"/>
        <v>1.009998688104868E-4</v>
      </c>
      <c r="J164" s="55">
        <f t="shared" si="46"/>
        <v>1.1481665086376139E-4</v>
      </c>
      <c r="K164" s="55">
        <f t="shared" si="46"/>
        <v>1.3052356870192394E-4</v>
      </c>
      <c r="L164" s="55">
        <f t="shared" si="46"/>
        <v>1.4837919290034714E-4</v>
      </c>
      <c r="M164" s="55">
        <f t="shared" si="46"/>
        <v>1.6867746648911467E-4</v>
      </c>
      <c r="N164" s="55">
        <f t="shared" si="46"/>
        <v>1.9175254390482553E-4</v>
      </c>
      <c r="O164" s="55">
        <f t="shared" si="46"/>
        <v>2.1798429191100568E-4</v>
      </c>
      <c r="P164" s="55">
        <f t="shared" si="46"/>
        <v>2.4780454304443127E-4</v>
      </c>
      <c r="Q164" s="55">
        <f t="shared" si="46"/>
        <v>2.8170420453290946E-4</v>
      </c>
      <c r="R164" s="55">
        <f t="shared" si="46"/>
        <v>3.2024133971301144E-4</v>
      </c>
      <c r="S164" s="55">
        <f t="shared" si="46"/>
        <v>3.6405035498575145E-4</v>
      </c>
      <c r="T164" s="55">
        <f t="shared" si="46"/>
        <v>4.1385244354780225E-4</v>
      </c>
      <c r="U164" s="55">
        <f t="shared" si="46"/>
        <v>4.7046745782514175E-4</v>
      </c>
      <c r="V164" s="55">
        <f t="shared" si="46"/>
        <v>5.3482740605562118E-4</v>
      </c>
      <c r="W164" s="55">
        <f t="shared" si="46"/>
        <v>6.0799179520403012E-4</v>
      </c>
      <c r="X164" s="55">
        <f t="shared" si="46"/>
        <v>6.9116507278794157E-4</v>
      </c>
      <c r="Y164" s="55">
        <f t="shared" si="46"/>
        <v>7.8571645474533188E-4</v>
      </c>
      <c r="Z164" s="55">
        <f t="shared" si="46"/>
        <v>8.9320246575449341E-4</v>
      </c>
      <c r="AA164" s="55">
        <f t="shared" si="46"/>
        <v>1.0153925630697082E-3</v>
      </c>
      <c r="AB164" s="55">
        <f t="shared" si="46"/>
        <v>1.154298265697644E-3</v>
      </c>
      <c r="AC164" s="290">
        <f t="shared" si="46"/>
        <v>1.3122062684450817E-3</v>
      </c>
      <c r="AD164" s="376">
        <f t="shared" si="29"/>
        <v>1.0293977118972496E-2</v>
      </c>
    </row>
    <row r="165" spans="1:30" s="112" customFormat="1" ht="12">
      <c r="A165" s="58"/>
      <c r="C165" s="49" t="s">
        <v>40</v>
      </c>
      <c r="D165" s="328">
        <f>D152</f>
        <v>-6200000</v>
      </c>
      <c r="E165" s="236"/>
      <c r="F165" s="275">
        <f>F164*$D165</f>
        <v>0</v>
      </c>
      <c r="G165" s="275">
        <f t="shared" ref="G165:AC165" si="47">G164*$D165</f>
        <v>-242.2782196631286</v>
      </c>
      <c r="H165" s="275">
        <f t="shared" si="47"/>
        <v>-550.84376022608922</v>
      </c>
      <c r="I165" s="275">
        <f t="shared" si="47"/>
        <v>-626.19918662501811</v>
      </c>
      <c r="J165" s="275">
        <f t="shared" si="47"/>
        <v>-711.86323535532063</v>
      </c>
      <c r="K165" s="275">
        <f t="shared" si="47"/>
        <v>-809.24612595192843</v>
      </c>
      <c r="L165" s="275">
        <f t="shared" si="47"/>
        <v>-919.95099598215222</v>
      </c>
      <c r="M165" s="275">
        <f t="shared" si="47"/>
        <v>-1045.8002922325109</v>
      </c>
      <c r="N165" s="275">
        <f t="shared" si="47"/>
        <v>-1188.8657722099183</v>
      </c>
      <c r="O165" s="275">
        <f t="shared" si="47"/>
        <v>-1351.5026098482351</v>
      </c>
      <c r="P165" s="275">
        <f t="shared" si="47"/>
        <v>-1536.3881668754739</v>
      </c>
      <c r="Q165" s="275">
        <f t="shared" si="47"/>
        <v>-1746.5660681040385</v>
      </c>
      <c r="R165" s="275">
        <f t="shared" si="47"/>
        <v>-1985.4963062206709</v>
      </c>
      <c r="S165" s="275">
        <f t="shared" si="47"/>
        <v>-2257.1122009116589</v>
      </c>
      <c r="T165" s="275">
        <f t="shared" si="47"/>
        <v>-2565.8851499963739</v>
      </c>
      <c r="U165" s="275">
        <f t="shared" si="47"/>
        <v>-2916.8982385158788</v>
      </c>
      <c r="V165" s="275">
        <f t="shared" si="47"/>
        <v>-3315.9299175448514</v>
      </c>
      <c r="W165" s="275">
        <f t="shared" si="47"/>
        <v>-3769.5491302649866</v>
      </c>
      <c r="X165" s="275">
        <f t="shared" si="47"/>
        <v>-4285.2234512852374</v>
      </c>
      <c r="Y165" s="275">
        <f t="shared" si="47"/>
        <v>-4871.4420194210579</v>
      </c>
      <c r="Z165" s="275">
        <f t="shared" si="47"/>
        <v>-5537.8552876778595</v>
      </c>
      <c r="AA165" s="275">
        <f t="shared" si="47"/>
        <v>-6295.4338910321912</v>
      </c>
      <c r="AB165" s="275">
        <f t="shared" si="47"/>
        <v>-7156.6492473253929</v>
      </c>
      <c r="AC165" s="288">
        <f t="shared" si="47"/>
        <v>-8135.6788643595064</v>
      </c>
      <c r="AD165" s="369">
        <f t="shared" si="29"/>
        <v>-63822.658137629478</v>
      </c>
    </row>
    <row r="166" spans="1:30" s="112" customFormat="1" ht="12">
      <c r="A166" s="58"/>
      <c r="C166" s="78" t="s">
        <v>560</v>
      </c>
      <c r="D166" s="229">
        <f>'Mode Operating Assumptions'!$D$198</f>
        <v>8.7375046258002826E-6</v>
      </c>
      <c r="E166" s="236"/>
      <c r="F166" s="55">
        <f>$D166*(F$16+F$17)</f>
        <v>0</v>
      </c>
      <c r="G166" s="55">
        <f t="shared" ref="G166:AC166" si="48">$D166*(G$16+G$17)</f>
        <v>1.8236612094807523E-3</v>
      </c>
      <c r="H166" s="55">
        <f t="shared" si="48"/>
        <v>4.1462761258754385E-3</v>
      </c>
      <c r="I166" s="55">
        <f t="shared" si="48"/>
        <v>4.7134866998951993E-3</v>
      </c>
      <c r="J166" s="55">
        <f t="shared" si="48"/>
        <v>5.3582916804408619E-3</v>
      </c>
      <c r="K166" s="55">
        <f t="shared" si="48"/>
        <v>6.0913059823251708E-3</v>
      </c>
      <c r="L166" s="55">
        <f t="shared" si="48"/>
        <v>6.9245966407072545E-3</v>
      </c>
      <c r="M166" s="55">
        <f t="shared" si="48"/>
        <v>7.8718814611560099E-3</v>
      </c>
      <c r="N166" s="55">
        <f t="shared" si="48"/>
        <v>8.9487548450421506E-3</v>
      </c>
      <c r="O166" s="55">
        <f t="shared" si="48"/>
        <v>1.0172944507843918E-2</v>
      </c>
      <c r="P166" s="55">
        <f t="shared" si="48"/>
        <v>1.1564603316516967E-2</v>
      </c>
      <c r="Q166" s="55">
        <f t="shared" si="48"/>
        <v>1.3146641050216486E-2</v>
      </c>
      <c r="R166" s="55">
        <f t="shared" si="48"/>
        <v>1.4945101545886101E-2</v>
      </c>
      <c r="S166" s="55">
        <f t="shared" si="48"/>
        <v>1.6989591437363321E-2</v>
      </c>
      <c r="T166" s="55">
        <f t="shared" si="48"/>
        <v>1.9313767545994624E-2</v>
      </c>
      <c r="U166" s="55">
        <f t="shared" si="48"/>
        <v>2.1955890946286694E-2</v>
      </c>
      <c r="V166" s="55">
        <f t="shared" si="48"/>
        <v>2.4959456827738716E-2</v>
      </c>
      <c r="W166" s="55">
        <f t="shared" si="48"/>
        <v>2.8373910521773373E-2</v>
      </c>
      <c r="X166" s="55">
        <f t="shared" si="48"/>
        <v>3.2255461481151979E-2</v>
      </c>
      <c r="Y166" s="55">
        <f t="shared" si="48"/>
        <v>3.6668008611773557E-2</v>
      </c>
      <c r="Z166" s="55">
        <f t="shared" si="48"/>
        <v>4.1684192189864189E-2</v>
      </c>
      <c r="AA166" s="55">
        <f t="shared" si="48"/>
        <v>4.7386589681437614E-2</v>
      </c>
      <c r="AB166" s="55">
        <f t="shared" si="48"/>
        <v>5.3869075149858267E-2</v>
      </c>
      <c r="AC166" s="290">
        <f t="shared" si="48"/>
        <v>6.123836463035888E-2</v>
      </c>
      <c r="AD166" s="376">
        <f t="shared" si="29"/>
        <v>0.4804018540889875</v>
      </c>
    </row>
    <row r="167" spans="1:30" s="112" customFormat="1" ht="12">
      <c r="A167" s="58"/>
      <c r="C167" s="49" t="s">
        <v>41</v>
      </c>
      <c r="D167" s="328">
        <f>D154</f>
        <v>-291400</v>
      </c>
      <c r="E167" s="236"/>
      <c r="F167" s="275">
        <f>F166*$D165</f>
        <v>0</v>
      </c>
      <c r="G167" s="275">
        <f t="shared" ref="G167:AC167" si="49">G166*$D165</f>
        <v>-11306.699498780665</v>
      </c>
      <c r="H167" s="275">
        <f t="shared" si="49"/>
        <v>-25706.911980427718</v>
      </c>
      <c r="I167" s="275">
        <f t="shared" si="49"/>
        <v>-29223.617539350234</v>
      </c>
      <c r="J167" s="275">
        <f t="shared" si="49"/>
        <v>-33221.408418733343</v>
      </c>
      <c r="K167" s="275">
        <f t="shared" si="49"/>
        <v>-37766.097090416057</v>
      </c>
      <c r="L167" s="275">
        <f t="shared" si="49"/>
        <v>-42932.499172384974</v>
      </c>
      <c r="M167" s="275">
        <f t="shared" si="49"/>
        <v>-48805.665059167259</v>
      </c>
      <c r="N167" s="275">
        <f t="shared" si="49"/>
        <v>-55482.280039261335</v>
      </c>
      <c r="O167" s="275">
        <f t="shared" si="49"/>
        <v>-63072.255948632286</v>
      </c>
      <c r="P167" s="275">
        <f t="shared" si="49"/>
        <v>-71700.540562405193</v>
      </c>
      <c r="Q167" s="275">
        <f t="shared" si="49"/>
        <v>-81509.174511342208</v>
      </c>
      <c r="R167" s="275">
        <f t="shared" si="49"/>
        <v>-92659.629584493829</v>
      </c>
      <c r="S167" s="275">
        <f t="shared" si="49"/>
        <v>-105335.46691165259</v>
      </c>
      <c r="T167" s="275">
        <f t="shared" si="49"/>
        <v>-119745.35878516667</v>
      </c>
      <c r="U167" s="275">
        <f t="shared" si="49"/>
        <v>-136126.52386697751</v>
      </c>
      <c r="V167" s="275">
        <f t="shared" si="49"/>
        <v>-154748.63233198004</v>
      </c>
      <c r="W167" s="275">
        <f t="shared" si="49"/>
        <v>-175918.24523499492</v>
      </c>
      <c r="X167" s="275">
        <f t="shared" si="49"/>
        <v>-199983.86118314226</v>
      </c>
      <c r="Y167" s="275">
        <f t="shared" si="49"/>
        <v>-227341.65339299606</v>
      </c>
      <c r="Z167" s="275">
        <f t="shared" si="49"/>
        <v>-258441.99157715798</v>
      </c>
      <c r="AA167" s="275">
        <f t="shared" si="49"/>
        <v>-293796.8560249132</v>
      </c>
      <c r="AB167" s="275">
        <f t="shared" si="49"/>
        <v>-333988.26592912123</v>
      </c>
      <c r="AC167" s="288">
        <f t="shared" si="49"/>
        <v>-379677.86070822505</v>
      </c>
      <c r="AD167" s="369">
        <f t="shared" si="29"/>
        <v>-2978491.4953517225</v>
      </c>
    </row>
    <row r="168" spans="1:30" s="112" customFormat="1" ht="12">
      <c r="A168" s="58"/>
      <c r="C168" s="49"/>
      <c r="D168" s="328"/>
      <c r="E168" s="236"/>
      <c r="F168" s="275"/>
      <c r="G168" s="275"/>
      <c r="H168" s="275"/>
      <c r="I168" s="275"/>
      <c r="J168" s="275"/>
      <c r="K168" s="275"/>
      <c r="L168" s="275"/>
      <c r="M168" s="275"/>
      <c r="N168" s="275"/>
      <c r="O168" s="275"/>
      <c r="P168" s="275"/>
      <c r="Q168" s="275"/>
      <c r="R168" s="275"/>
      <c r="S168" s="275"/>
      <c r="T168" s="275"/>
      <c r="U168" s="275"/>
      <c r="V168" s="275"/>
      <c r="W168" s="275"/>
      <c r="X168" s="275"/>
      <c r="Y168" s="275"/>
      <c r="Z168" s="275"/>
      <c r="AA168" s="275"/>
      <c r="AB168" s="275"/>
      <c r="AC168" s="288"/>
      <c r="AD168" s="369"/>
    </row>
    <row r="169" spans="1:30" s="112" customFormat="1" ht="12">
      <c r="A169" s="58"/>
      <c r="B169" s="469" t="s">
        <v>610</v>
      </c>
      <c r="C169" s="78" t="s">
        <v>608</v>
      </c>
      <c r="D169" s="467">
        <v>-0.2</v>
      </c>
      <c r="E169" s="236"/>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283"/>
      <c r="AD169" s="360">
        <f>SUM(F169:AC169)</f>
        <v>0</v>
      </c>
    </row>
    <row r="170" spans="1:30" s="112" customFormat="1" ht="12">
      <c r="A170" s="58"/>
      <c r="C170" s="78" t="s">
        <v>559</v>
      </c>
      <c r="D170" s="229">
        <f>D164*D$169</f>
        <v>-3.7445181332811299E-8</v>
      </c>
      <c r="E170" s="236"/>
      <c r="F170" s="55">
        <f>$D170*(F$15+F$16+F$17)</f>
        <v>0</v>
      </c>
      <c r="G170" s="55">
        <f t="shared" ref="G170:AC170" si="50">$D170*(G$15+G$16+G$17)</f>
        <v>-9.4653498004591453E-5</v>
      </c>
      <c r="H170" s="55">
        <f t="shared" si="50"/>
        <v>-2.1520419306323912E-4</v>
      </c>
      <c r="I170" s="55">
        <f t="shared" si="50"/>
        <v>-2.4464412667429028E-4</v>
      </c>
      <c r="J170" s="55">
        <f t="shared" si="50"/>
        <v>-2.7811144320333313E-4</v>
      </c>
      <c r="K170" s="55">
        <f t="shared" si="50"/>
        <v>-3.1615708863354914E-4</v>
      </c>
      <c r="L170" s="55">
        <f t="shared" si="50"/>
        <v>-3.5940737835861864E-4</v>
      </c>
      <c r="M170" s="55">
        <f t="shared" si="50"/>
        <v>-4.0857430771807778E-4</v>
      </c>
      <c r="N170" s="55">
        <f t="shared" si="50"/>
        <v>-4.6446727301391078E-4</v>
      </c>
      <c r="O170" s="55">
        <f t="shared" si="50"/>
        <v>-5.2800639596221389E-4</v>
      </c>
      <c r="P170" s="55">
        <f t="shared" si="50"/>
        <v>-6.0023767092984466E-4</v>
      </c>
      <c r="Q170" s="55">
        <f t="shared" si="50"/>
        <v>-6.8235018431304754E-4</v>
      </c>
      <c r="R170" s="55">
        <f t="shared" si="50"/>
        <v>-7.7569568952707223E-4</v>
      </c>
      <c r="S170" s="55">
        <f t="shared" si="50"/>
        <v>-8.8181085985437587E-4</v>
      </c>
      <c r="T170" s="55">
        <f t="shared" si="50"/>
        <v>-1.0024425854824545E-3</v>
      </c>
      <c r="U170" s="55">
        <f t="shared" si="50"/>
        <v>-1.1395767311764545E-3</v>
      </c>
      <c r="V170" s="55">
        <f t="shared" si="50"/>
        <v>-1.2954708280013933E-3</v>
      </c>
      <c r="W170" s="55">
        <f t="shared" si="50"/>
        <v>-1.4726912372719845E-3</v>
      </c>
      <c r="X170" s="55">
        <f t="shared" si="50"/>
        <v>-1.674155398530792E-3</v>
      </c>
      <c r="Y170" s="55">
        <f t="shared" si="50"/>
        <v>-1.9031798570498042E-3</v>
      </c>
      <c r="Z170" s="55">
        <f t="shared" si="50"/>
        <v>-2.1635348614942175E-3</v>
      </c>
      <c r="AA170" s="55">
        <f t="shared" si="50"/>
        <v>-2.4595064305466263E-3</v>
      </c>
      <c r="AB170" s="55">
        <f t="shared" si="50"/>
        <v>-2.7959669102454042E-3</v>
      </c>
      <c r="AC170" s="290">
        <f t="shared" si="50"/>
        <v>-3.178455183566976E-3</v>
      </c>
      <c r="AD170" s="361">
        <f>SUM(F170:AC170)</f>
        <v>-2.4934300132622274E-2</v>
      </c>
    </row>
    <row r="171" spans="1:30" s="112" customFormat="1" ht="12">
      <c r="A171" s="58"/>
      <c r="B171" s="58"/>
      <c r="C171" s="49" t="s">
        <v>40</v>
      </c>
      <c r="D171" s="328">
        <f>D165</f>
        <v>-6200000</v>
      </c>
      <c r="E171" s="236"/>
      <c r="F171" s="337">
        <f>F170*$D171</f>
        <v>0</v>
      </c>
      <c r="G171" s="337">
        <f t="shared" ref="G171:AC171" si="51">G170*$D171</f>
        <v>586.85168762846706</v>
      </c>
      <c r="H171" s="337">
        <f t="shared" si="51"/>
        <v>1334.2659969920826</v>
      </c>
      <c r="I171" s="337">
        <f t="shared" si="51"/>
        <v>1516.7935853805998</v>
      </c>
      <c r="J171" s="337">
        <f t="shared" si="51"/>
        <v>1724.2909478606655</v>
      </c>
      <c r="K171" s="337">
        <f t="shared" si="51"/>
        <v>1960.1739495280046</v>
      </c>
      <c r="L171" s="337">
        <f t="shared" si="51"/>
        <v>2228.3257458234357</v>
      </c>
      <c r="M171" s="337">
        <f t="shared" si="51"/>
        <v>2533.1607078520824</v>
      </c>
      <c r="N171" s="337">
        <f t="shared" si="51"/>
        <v>2879.6970926862468</v>
      </c>
      <c r="O171" s="337">
        <f t="shared" si="51"/>
        <v>3273.6396549657261</v>
      </c>
      <c r="P171" s="337">
        <f t="shared" si="51"/>
        <v>3721.473559765037</v>
      </c>
      <c r="Q171" s="337">
        <f t="shared" si="51"/>
        <v>4230.5711427408951</v>
      </c>
      <c r="R171" s="337">
        <f t="shared" si="51"/>
        <v>4809.3132750678478</v>
      </c>
      <c r="S171" s="337">
        <f t="shared" si="51"/>
        <v>5467.2273310971304</v>
      </c>
      <c r="T171" s="337">
        <f t="shared" si="51"/>
        <v>6215.1440299912183</v>
      </c>
      <c r="U171" s="337">
        <f t="shared" si="51"/>
        <v>7065.3757332940177</v>
      </c>
      <c r="V171" s="337">
        <f t="shared" si="51"/>
        <v>8031.9191336086387</v>
      </c>
      <c r="W171" s="337">
        <f t="shared" si="51"/>
        <v>9130.6856710863049</v>
      </c>
      <c r="X171" s="337">
        <f t="shared" si="51"/>
        <v>10379.76347089091</v>
      </c>
      <c r="Y171" s="337">
        <f t="shared" si="51"/>
        <v>11799.715113708786</v>
      </c>
      <c r="Z171" s="337">
        <f t="shared" si="51"/>
        <v>13413.916141264148</v>
      </c>
      <c r="AA171" s="337">
        <f t="shared" si="51"/>
        <v>15248.939869389083</v>
      </c>
      <c r="AB171" s="337">
        <f t="shared" si="51"/>
        <v>17334.994843521505</v>
      </c>
      <c r="AC171" s="414">
        <f t="shared" si="51"/>
        <v>19706.422138115253</v>
      </c>
      <c r="AD171" s="382">
        <f>SUM(F171:AC171)</f>
        <v>154592.66082225807</v>
      </c>
    </row>
    <row r="172" spans="1:30" s="112" customFormat="1" ht="12">
      <c r="A172" s="58"/>
      <c r="B172" s="58"/>
      <c r="C172" s="78" t="s">
        <v>560</v>
      </c>
      <c r="D172" s="229">
        <f>D166*D$169</f>
        <v>-1.7475009251600567E-6</v>
      </c>
      <c r="E172" s="236"/>
      <c r="F172" s="55">
        <f>$D172*(F$15+F$16+F$17)</f>
        <v>0</v>
      </c>
      <c r="G172" s="55">
        <f t="shared" ref="G172:AC172" si="52">$D172*(G$15+G$16+G$17)</f>
        <v>-4.417312707408934E-3</v>
      </c>
      <c r="H172" s="55">
        <f t="shared" si="52"/>
        <v>-1.0043202171564951E-2</v>
      </c>
      <c r="I172" s="55">
        <f t="shared" si="52"/>
        <v>-1.1417112228635038E-2</v>
      </c>
      <c r="J172" s="55">
        <f t="shared" si="52"/>
        <v>-1.297897318151231E-2</v>
      </c>
      <c r="K172" s="55">
        <f t="shared" si="52"/>
        <v>-1.4754496712743195E-2</v>
      </c>
      <c r="L172" s="55">
        <f t="shared" si="52"/>
        <v>-1.6772911863046462E-2</v>
      </c>
      <c r="M172" s="55">
        <f t="shared" si="52"/>
        <v>-1.9067446205911224E-2</v>
      </c>
      <c r="N172" s="55">
        <f t="shared" si="52"/>
        <v>-2.1675872846879878E-2</v>
      </c>
      <c r="O172" s="55">
        <f t="shared" si="52"/>
        <v>-2.464113225233305E-2</v>
      </c>
      <c r="P172" s="55">
        <f t="shared" si="52"/>
        <v>-2.801203914445221E-2</v>
      </c>
      <c r="Q172" s="55">
        <f t="shared" si="52"/>
        <v>-3.1844086099413277E-2</v>
      </c>
      <c r="R172" s="55">
        <f t="shared" si="52"/>
        <v>-3.6200357077813002E-2</v>
      </c>
      <c r="S172" s="55">
        <f t="shared" si="52"/>
        <v>-4.1152565926057823E-2</v>
      </c>
      <c r="T172" s="55">
        <f t="shared" si="52"/>
        <v>-4.6782236944742539E-2</v>
      </c>
      <c r="U172" s="55">
        <f t="shared" si="52"/>
        <v>-5.3182046958783327E-2</v>
      </c>
      <c r="V172" s="55">
        <f t="shared" si="52"/>
        <v>-6.0457350982744879E-2</v>
      </c>
      <c r="W172" s="55">
        <f t="shared" si="52"/>
        <v>-6.8727916597184399E-2</v>
      </c>
      <c r="X172" s="55">
        <f t="shared" si="52"/>
        <v>-7.8129895587679229E-2</v>
      </c>
      <c r="Y172" s="55">
        <f t="shared" si="52"/>
        <v>-8.8818065304073754E-2</v>
      </c>
      <c r="Z172" s="55">
        <f t="shared" si="52"/>
        <v>-0.10096837663767104</v>
      </c>
      <c r="AA172" s="55">
        <f t="shared" si="52"/>
        <v>-0.11478085056170444</v>
      </c>
      <c r="AB172" s="55">
        <f t="shared" si="52"/>
        <v>-0.13048287091854557</v>
      </c>
      <c r="AC172" s="290">
        <f t="shared" si="52"/>
        <v>-0.14833292766020262</v>
      </c>
      <c r="AD172" s="361">
        <f>SUM(F172:AC172)</f>
        <v>-1.163640046571103</v>
      </c>
    </row>
    <row r="173" spans="1:30" s="112" customFormat="1" ht="12">
      <c r="A173" s="58"/>
      <c r="B173" s="58"/>
      <c r="C173" s="49" t="s">
        <v>41</v>
      </c>
      <c r="D173" s="328">
        <f>D167</f>
        <v>-291400</v>
      </c>
      <c r="E173" s="236"/>
      <c r="F173" s="337">
        <f>F172*$D173</f>
        <v>0</v>
      </c>
      <c r="G173" s="337">
        <f t="shared" ref="G173:AC173" si="53">G172*$D173</f>
        <v>1287.2049229389634</v>
      </c>
      <c r="H173" s="337">
        <f t="shared" si="53"/>
        <v>2926.5891127940267</v>
      </c>
      <c r="I173" s="337">
        <f t="shared" si="53"/>
        <v>3326.9465034242503</v>
      </c>
      <c r="J173" s="337">
        <f t="shared" si="53"/>
        <v>3782.0727850926869</v>
      </c>
      <c r="K173" s="337">
        <f t="shared" si="53"/>
        <v>4299.4603420933672</v>
      </c>
      <c r="L173" s="337">
        <f t="shared" si="53"/>
        <v>4887.6265168917389</v>
      </c>
      <c r="M173" s="337">
        <f t="shared" si="53"/>
        <v>5556.2538244025309</v>
      </c>
      <c r="N173" s="337">
        <f t="shared" si="53"/>
        <v>6316.3493475807963</v>
      </c>
      <c r="O173" s="337">
        <f t="shared" si="53"/>
        <v>7180.4259383298504</v>
      </c>
      <c r="P173" s="337">
        <f t="shared" si="53"/>
        <v>8162.7082066933735</v>
      </c>
      <c r="Q173" s="337">
        <f t="shared" si="53"/>
        <v>9279.3666893690297</v>
      </c>
      <c r="R173" s="337">
        <f t="shared" si="53"/>
        <v>10548.784052474708</v>
      </c>
      <c r="S173" s="337">
        <f t="shared" si="53"/>
        <v>11991.85771085325</v>
      </c>
      <c r="T173" s="337">
        <f t="shared" si="53"/>
        <v>13632.343845697977</v>
      </c>
      <c r="U173" s="337">
        <f t="shared" si="53"/>
        <v>15497.248483789461</v>
      </c>
      <c r="V173" s="337">
        <f t="shared" si="53"/>
        <v>17617.272076371857</v>
      </c>
      <c r="W173" s="337">
        <f t="shared" si="53"/>
        <v>20027.314896419535</v>
      </c>
      <c r="X173" s="337">
        <f t="shared" si="53"/>
        <v>22767.051574249726</v>
      </c>
      <c r="Y173" s="337">
        <f t="shared" si="53"/>
        <v>25881.584229607091</v>
      </c>
      <c r="Z173" s="337">
        <f t="shared" si="53"/>
        <v>29422.18495221734</v>
      </c>
      <c r="AA173" s="337">
        <f t="shared" si="53"/>
        <v>33447.139853680674</v>
      </c>
      <c r="AB173" s="337">
        <f t="shared" si="53"/>
        <v>38022.708585664179</v>
      </c>
      <c r="AC173" s="414">
        <f t="shared" si="53"/>
        <v>43224.215120183042</v>
      </c>
      <c r="AD173" s="382">
        <f>SUM(F173:AC173)</f>
        <v>339084.7095708194</v>
      </c>
    </row>
    <row r="174" spans="1:30" s="112" customFormat="1" ht="12">
      <c r="A174" s="58"/>
      <c r="B174" s="58"/>
      <c r="C174" s="49"/>
      <c r="D174" s="229"/>
      <c r="E174" s="236"/>
      <c r="F174" s="275"/>
      <c r="G174" s="275"/>
      <c r="H174" s="275"/>
      <c r="I174" s="275"/>
      <c r="J174" s="275"/>
      <c r="K174" s="275"/>
      <c r="L174" s="275"/>
      <c r="M174" s="275"/>
      <c r="N174" s="275"/>
      <c r="O174" s="275"/>
      <c r="P174" s="275"/>
      <c r="Q174" s="275"/>
      <c r="R174" s="275"/>
      <c r="S174" s="275"/>
      <c r="T174" s="275"/>
      <c r="U174" s="275"/>
      <c r="V174" s="275"/>
      <c r="W174" s="275"/>
      <c r="X174" s="275"/>
      <c r="Y174" s="275"/>
      <c r="Z174" s="275"/>
      <c r="AA174" s="275"/>
      <c r="AB174" s="275"/>
      <c r="AC174" s="288"/>
      <c r="AD174" s="369">
        <f t="shared" si="29"/>
        <v>0</v>
      </c>
    </row>
    <row r="175" spans="1:30" s="112" customFormat="1" ht="12">
      <c r="A175" s="58"/>
      <c r="B175" s="58" t="s">
        <v>545</v>
      </c>
      <c r="C175" s="78" t="s">
        <v>603</v>
      </c>
      <c r="D175" s="229"/>
      <c r="E175" s="236"/>
      <c r="AC175" s="282"/>
      <c r="AD175" s="360">
        <f t="shared" si="29"/>
        <v>0</v>
      </c>
    </row>
    <row r="176" spans="1:30" s="112" customFormat="1" ht="12">
      <c r="A176" s="58"/>
      <c r="B176" s="58"/>
      <c r="C176" s="78" t="s">
        <v>559</v>
      </c>
      <c r="D176" s="229">
        <f>'Mode Operating Assumptions'!$D$186</f>
        <v>8.6836127924972328E-9</v>
      </c>
      <c r="E176" s="236"/>
      <c r="F176" s="55">
        <f>$D176*F$23</f>
        <v>0</v>
      </c>
      <c r="G176" s="55">
        <f t="shared" ref="G176:AC176" si="54">$D176*G$23</f>
        <v>-1.2646183396636133E-3</v>
      </c>
      <c r="H176" s="55">
        <f t="shared" si="54"/>
        <v>-2.5574859221201077E-3</v>
      </c>
      <c r="I176" s="55">
        <f t="shared" si="54"/>
        <v>-2.5859801277671466E-3</v>
      </c>
      <c r="J176" s="55">
        <f t="shared" si="54"/>
        <v>-2.6147528071867911E-3</v>
      </c>
      <c r="K176" s="55">
        <f t="shared" si="54"/>
        <v>-2.6438420555911376E-3</v>
      </c>
      <c r="L176" s="55">
        <f t="shared" si="54"/>
        <v>-2.6732911796172902E-3</v>
      </c>
      <c r="M176" s="55">
        <f t="shared" si="54"/>
        <v>-2.7031494102503131E-3</v>
      </c>
      <c r="N176" s="55">
        <f t="shared" si="54"/>
        <v>-2.7334727132740243E-3</v>
      </c>
      <c r="O176" s="55">
        <f t="shared" si="54"/>
        <v>-2.7460942665027692E-3</v>
      </c>
      <c r="P176" s="55">
        <f t="shared" si="54"/>
        <v>-2.7593168394046321E-3</v>
      </c>
      <c r="Q176" s="55">
        <f t="shared" si="54"/>
        <v>-2.7732226514708973E-3</v>
      </c>
      <c r="R176" s="55">
        <f t="shared" si="54"/>
        <v>-2.7879051698192548E-3</v>
      </c>
      <c r="S176" s="55">
        <f t="shared" si="54"/>
        <v>-2.8034706478690936E-3</v>
      </c>
      <c r="T176" s="55">
        <f t="shared" si="54"/>
        <v>-2.8200398745075782E-3</v>
      </c>
      <c r="U176" s="55">
        <f t="shared" si="54"/>
        <v>-2.8377501625416347E-3</v>
      </c>
      <c r="V176" s="55">
        <f t="shared" si="54"/>
        <v>-2.8567576091701767E-3</v>
      </c>
      <c r="W176" s="55">
        <f t="shared" si="54"/>
        <v>-2.8772396656889308E-3</v>
      </c>
      <c r="X176" s="55">
        <f t="shared" si="54"/>
        <v>-2.8993980587308774E-3</v>
      </c>
      <c r="Y176" s="55">
        <f t="shared" si="54"/>
        <v>-2.9234621111323888E-3</v>
      </c>
      <c r="Z176" s="55">
        <f t="shared" si="54"/>
        <v>-2.9496925170938546E-3</v>
      </c>
      <c r="AA176" s="55">
        <f t="shared" si="54"/>
        <v>-2.9783856337822754E-3</v>
      </c>
      <c r="AB176" s="55">
        <f t="shared" si="54"/>
        <v>-3.0098783600250997E-3</v>
      </c>
      <c r="AC176" s="290">
        <f t="shared" si="54"/>
        <v>-3.0445536824093692E-3</v>
      </c>
      <c r="AD176" s="376">
        <f t="shared" si="29"/>
        <v>-6.2843759805619265E-2</v>
      </c>
    </row>
    <row r="177" spans="1:50" s="112" customFormat="1" ht="12">
      <c r="A177" s="58"/>
      <c r="B177" s="58"/>
      <c r="C177" s="49" t="s">
        <v>40</v>
      </c>
      <c r="D177" s="328">
        <f>D165</f>
        <v>-6200000</v>
      </c>
      <c r="E177" s="236"/>
      <c r="F177" s="275">
        <f>F176*$D$177</f>
        <v>0</v>
      </c>
      <c r="G177" s="275">
        <f t="shared" ref="G177:AC177" si="55">G176*$D$177</f>
        <v>7840.6337059144025</v>
      </c>
      <c r="H177" s="275">
        <f t="shared" si="55"/>
        <v>15856.412717144667</v>
      </c>
      <c r="I177" s="275">
        <f t="shared" si="55"/>
        <v>16033.076792156309</v>
      </c>
      <c r="J177" s="275">
        <f t="shared" si="55"/>
        <v>16211.467404558105</v>
      </c>
      <c r="K177" s="275">
        <f t="shared" si="55"/>
        <v>16391.820744665052</v>
      </c>
      <c r="L177" s="275">
        <f t="shared" si="55"/>
        <v>16574.405313627198</v>
      </c>
      <c r="M177" s="275">
        <f t="shared" si="55"/>
        <v>16759.526343551941</v>
      </c>
      <c r="N177" s="275">
        <f t="shared" si="55"/>
        <v>16947.530822298952</v>
      </c>
      <c r="O177" s="275">
        <f t="shared" si="55"/>
        <v>17025.78445231717</v>
      </c>
      <c r="P177" s="275">
        <f t="shared" si="55"/>
        <v>17107.76440430872</v>
      </c>
      <c r="Q177" s="275">
        <f t="shared" si="55"/>
        <v>17193.980439119565</v>
      </c>
      <c r="R177" s="275">
        <f t="shared" si="55"/>
        <v>17285.012052879381</v>
      </c>
      <c r="S177" s="275">
        <f t="shared" si="55"/>
        <v>17381.518016788381</v>
      </c>
      <c r="T177" s="275">
        <f t="shared" si="55"/>
        <v>17484.247221946986</v>
      </c>
      <c r="U177" s="275">
        <f t="shared" si="55"/>
        <v>17594.051007758135</v>
      </c>
      <c r="V177" s="275">
        <f t="shared" si="55"/>
        <v>17711.897176855095</v>
      </c>
      <c r="W177" s="275">
        <f t="shared" si="55"/>
        <v>17838.885927271371</v>
      </c>
      <c r="X177" s="275">
        <f t="shared" si="55"/>
        <v>17976.267964131439</v>
      </c>
      <c r="Y177" s="275">
        <f t="shared" si="55"/>
        <v>18125.46508902081</v>
      </c>
      <c r="Z177" s="275">
        <f t="shared" si="55"/>
        <v>18288.0936059819</v>
      </c>
      <c r="AA177" s="275">
        <f t="shared" si="55"/>
        <v>18465.990929450109</v>
      </c>
      <c r="AB177" s="275">
        <f t="shared" si="55"/>
        <v>18661.245832155619</v>
      </c>
      <c r="AC177" s="288">
        <f t="shared" si="55"/>
        <v>18876.23283093809</v>
      </c>
      <c r="AD177" s="369">
        <f t="shared" ref="AD177:AD191" si="56">SUM(F177:AC177)</f>
        <v>389631.31079483934</v>
      </c>
    </row>
    <row r="178" spans="1:50" s="112" customFormat="1" ht="12">
      <c r="A178" s="58"/>
      <c r="B178" s="58"/>
      <c r="C178" s="78" t="s">
        <v>560</v>
      </c>
      <c r="D178" s="229">
        <f>'Mode Operating Assumptions'!$D$187</f>
        <v>8.1339537419145546E-7</v>
      </c>
      <c r="E178" s="236"/>
      <c r="F178" s="55">
        <f>$D178*F$23</f>
        <v>0</v>
      </c>
      <c r="G178" s="55">
        <f t="shared" ref="G178:AC178" si="57">$D178*G$23</f>
        <v>-0.11845699850744348</v>
      </c>
      <c r="H178" s="55">
        <f t="shared" si="57"/>
        <v>-0.23956010802434996</v>
      </c>
      <c r="I178" s="55">
        <f t="shared" si="57"/>
        <v>-0.24222916474283779</v>
      </c>
      <c r="J178" s="55">
        <f t="shared" si="57"/>
        <v>-0.24492430614334493</v>
      </c>
      <c r="K178" s="55">
        <f t="shared" si="57"/>
        <v>-0.24764910061037196</v>
      </c>
      <c r="L178" s="55">
        <f t="shared" si="57"/>
        <v>-0.25040760468341855</v>
      </c>
      <c r="M178" s="55">
        <f t="shared" si="57"/>
        <v>-0.2532044298365882</v>
      </c>
      <c r="N178" s="55">
        <f t="shared" si="57"/>
        <v>-0.25604481839364174</v>
      </c>
      <c r="O178" s="55">
        <f t="shared" si="57"/>
        <v>-0.25722708126702115</v>
      </c>
      <c r="P178" s="55">
        <f t="shared" si="57"/>
        <v>-0.25846564174758258</v>
      </c>
      <c r="Q178" s="55">
        <f t="shared" si="57"/>
        <v>-0.25976820134798861</v>
      </c>
      <c r="R178" s="55">
        <f t="shared" si="57"/>
        <v>-0.26114351514783396</v>
      </c>
      <c r="S178" s="55">
        <f t="shared" si="57"/>
        <v>-0.26260153592160185</v>
      </c>
      <c r="T178" s="55">
        <f t="shared" si="57"/>
        <v>-0.26415357798332506</v>
      </c>
      <c r="U178" s="55">
        <f t="shared" si="57"/>
        <v>-0.26581250344519575</v>
      </c>
      <c r="V178" s="55">
        <f t="shared" si="57"/>
        <v>-0.26759293395635408</v>
      </c>
      <c r="W178" s="55">
        <f t="shared" si="57"/>
        <v>-0.26951149140754277</v>
      </c>
      <c r="X178" s="55">
        <f t="shared" si="57"/>
        <v>-0.27158707156415773</v>
      </c>
      <c r="Y178" s="55">
        <f t="shared" si="57"/>
        <v>-0.27384115513230139</v>
      </c>
      <c r="Z178" s="55">
        <f t="shared" si="57"/>
        <v>-0.27629816137867097</v>
      </c>
      <c r="AA178" s="55">
        <f t="shared" si="57"/>
        <v>-0.27898585012564758</v>
      </c>
      <c r="AB178" s="55">
        <f t="shared" si="57"/>
        <v>-0.28193577873931447</v>
      </c>
      <c r="AC178" s="290">
        <f t="shared" si="57"/>
        <v>-0.2851838216334347</v>
      </c>
      <c r="AD178" s="376">
        <f t="shared" si="56"/>
        <v>-5.8865848517399701</v>
      </c>
    </row>
    <row r="179" spans="1:50" s="112" customFormat="1" ht="12">
      <c r="A179" s="58"/>
      <c r="B179" s="58"/>
      <c r="C179" s="49" t="s">
        <v>41</v>
      </c>
      <c r="D179" s="328">
        <f>D167</f>
        <v>-291400</v>
      </c>
      <c r="E179" s="236"/>
      <c r="F179" s="275">
        <f>F178*$D$179</f>
        <v>0</v>
      </c>
      <c r="G179" s="275">
        <f t="shared" ref="G179:AC179" si="58">G178*$D$179</f>
        <v>34518.369365069033</v>
      </c>
      <c r="H179" s="275">
        <f t="shared" si="58"/>
        <v>69807.815478295583</v>
      </c>
      <c r="I179" s="275">
        <f t="shared" si="58"/>
        <v>70585.578606062933</v>
      </c>
      <c r="J179" s="275">
        <f t="shared" si="58"/>
        <v>71370.942810170716</v>
      </c>
      <c r="K179" s="275">
        <f t="shared" si="58"/>
        <v>72164.947917862388</v>
      </c>
      <c r="L179" s="275">
        <f t="shared" si="58"/>
        <v>72968.776004748172</v>
      </c>
      <c r="M179" s="275">
        <f t="shared" si="58"/>
        <v>73783.770854381801</v>
      </c>
      <c r="N179" s="275">
        <f t="shared" si="58"/>
        <v>74611.460079907207</v>
      </c>
      <c r="O179" s="275">
        <f t="shared" si="58"/>
        <v>74955.97148120997</v>
      </c>
      <c r="P179" s="275">
        <f t="shared" si="58"/>
        <v>75316.888005245564</v>
      </c>
      <c r="Q179" s="275">
        <f t="shared" si="58"/>
        <v>75696.453872803875</v>
      </c>
      <c r="R179" s="275">
        <f t="shared" si="58"/>
        <v>76097.220314078819</v>
      </c>
      <c r="S179" s="275">
        <f t="shared" si="58"/>
        <v>76522.087567554772</v>
      </c>
      <c r="T179" s="275">
        <f t="shared" si="58"/>
        <v>76974.352624340929</v>
      </c>
      <c r="U179" s="275">
        <f t="shared" si="58"/>
        <v>77457.763503930037</v>
      </c>
      <c r="V179" s="275">
        <f t="shared" si="58"/>
        <v>77976.580954881574</v>
      </c>
      <c r="W179" s="275">
        <f t="shared" si="58"/>
        <v>78535.64859615796</v>
      </c>
      <c r="X179" s="275">
        <f t="shared" si="58"/>
        <v>79140.472653795558</v>
      </c>
      <c r="Y179" s="275">
        <f t="shared" si="58"/>
        <v>79797.312605552623</v>
      </c>
      <c r="Z179" s="275">
        <f t="shared" si="58"/>
        <v>80513.284225744719</v>
      </c>
      <c r="AA179" s="275">
        <f t="shared" si="58"/>
        <v>81296.476726613706</v>
      </c>
      <c r="AB179" s="275">
        <f t="shared" si="58"/>
        <v>82156.085924636238</v>
      </c>
      <c r="AC179" s="288">
        <f t="shared" si="58"/>
        <v>83102.565623982868</v>
      </c>
      <c r="AD179" s="369">
        <f t="shared" si="56"/>
        <v>1715350.825797027</v>
      </c>
    </row>
    <row r="180" spans="1:50" s="112" customFormat="1" ht="12">
      <c r="A180" s="58"/>
      <c r="B180" s="58"/>
      <c r="C180" s="78" t="s">
        <v>572</v>
      </c>
      <c r="D180" s="229">
        <f>'Mode Operating Assumptions'!$D$185</f>
        <v>1.8640215942009768E-6</v>
      </c>
      <c r="E180" s="236"/>
      <c r="F180" s="55">
        <f>$D180*F$23</f>
        <v>0</v>
      </c>
      <c r="G180" s="55">
        <f t="shared" ref="G180:AC180" si="59">$D180*G$23</f>
        <v>-0.27146257552988562</v>
      </c>
      <c r="H180" s="55">
        <f t="shared" si="59"/>
        <v>-0.54898912464358329</v>
      </c>
      <c r="I180" s="55">
        <f t="shared" si="59"/>
        <v>-0.55510568187671738</v>
      </c>
      <c r="J180" s="55">
        <f t="shared" si="59"/>
        <v>-0.56128201620240026</v>
      </c>
      <c r="K180" s="55">
        <f t="shared" si="59"/>
        <v>-0.5675263051268935</v>
      </c>
      <c r="L180" s="55">
        <f t="shared" si="59"/>
        <v>-0.57384784483931373</v>
      </c>
      <c r="M180" s="55">
        <f t="shared" si="59"/>
        <v>-0.58025720324744945</v>
      </c>
      <c r="N180" s="55">
        <f t="shared" si="59"/>
        <v>-0.58676639394887442</v>
      </c>
      <c r="O180" s="55">
        <f t="shared" si="59"/>
        <v>-0.58947573260007091</v>
      </c>
      <c r="P180" s="55">
        <f t="shared" si="59"/>
        <v>-0.59231408594549706</v>
      </c>
      <c r="Q180" s="55">
        <f t="shared" si="59"/>
        <v>-0.59529910319532353</v>
      </c>
      <c r="R180" s="55">
        <f t="shared" si="59"/>
        <v>-0.59845084797167247</v>
      </c>
      <c r="S180" s="55">
        <f t="shared" si="59"/>
        <v>-0.60179212860017195</v>
      </c>
      <c r="T180" s="55">
        <f t="shared" si="59"/>
        <v>-0.60534887358539646</v>
      </c>
      <c r="U180" s="55">
        <f t="shared" si="59"/>
        <v>-0.6091505584513458</v>
      </c>
      <c r="V180" s="55">
        <f t="shared" si="59"/>
        <v>-0.61323069097370297</v>
      </c>
      <c r="W180" s="55">
        <f t="shared" si="59"/>
        <v>-0.61762736279186481</v>
      </c>
      <c r="X180" s="55">
        <f t="shared" si="59"/>
        <v>-0.62238387648149729</v>
      </c>
      <c r="Y180" s="55">
        <f t="shared" si="59"/>
        <v>-0.6275494584106176</v>
      </c>
      <c r="Z180" s="55">
        <f t="shared" si="59"/>
        <v>-0.63318006911438773</v>
      </c>
      <c r="AA180" s="55">
        <f t="shared" si="59"/>
        <v>-0.63933932452917963</v>
      </c>
      <c r="AB180" s="55">
        <f t="shared" si="59"/>
        <v>-0.64609954325146124</v>
      </c>
      <c r="AC180" s="290">
        <f t="shared" si="59"/>
        <v>-0.65354293706169719</v>
      </c>
      <c r="AD180" s="376">
        <f t="shared" si="56"/>
        <v>-13.490021738379005</v>
      </c>
    </row>
    <row r="181" spans="1:50" s="112" customFormat="1" ht="12">
      <c r="A181" s="58"/>
      <c r="B181" s="58"/>
      <c r="C181" s="49" t="s">
        <v>547</v>
      </c>
      <c r="D181" s="328">
        <f>-'Mode Operating Assumptions'!C174</f>
        <v>-3285</v>
      </c>
      <c r="E181" s="236"/>
      <c r="F181" s="275">
        <f>F180*$D$181</f>
        <v>0</v>
      </c>
      <c r="G181" s="275">
        <f t="shared" ref="G181:AC181" si="60">G180*$D$181</f>
        <v>891.75456061567422</v>
      </c>
      <c r="H181" s="275">
        <f t="shared" si="60"/>
        <v>1803.429274454171</v>
      </c>
      <c r="I181" s="275">
        <f t="shared" si="60"/>
        <v>1823.5221649650166</v>
      </c>
      <c r="J181" s="275">
        <f t="shared" si="60"/>
        <v>1843.8114232248849</v>
      </c>
      <c r="K181" s="275">
        <f t="shared" si="60"/>
        <v>1864.3239123418452</v>
      </c>
      <c r="L181" s="275">
        <f t="shared" si="60"/>
        <v>1885.0901702971455</v>
      </c>
      <c r="M181" s="275">
        <f t="shared" si="60"/>
        <v>1906.1449126678715</v>
      </c>
      <c r="N181" s="275">
        <f t="shared" si="60"/>
        <v>1927.5276041220525</v>
      </c>
      <c r="O181" s="275">
        <f t="shared" si="60"/>
        <v>1936.427781591233</v>
      </c>
      <c r="P181" s="275">
        <f t="shared" si="60"/>
        <v>1945.7517723309579</v>
      </c>
      <c r="Q181" s="275">
        <f t="shared" si="60"/>
        <v>1955.5575539966378</v>
      </c>
      <c r="R181" s="275">
        <f t="shared" si="60"/>
        <v>1965.9110355869441</v>
      </c>
      <c r="S181" s="275">
        <f t="shared" si="60"/>
        <v>1976.8871424515648</v>
      </c>
      <c r="T181" s="275">
        <f t="shared" si="60"/>
        <v>1988.5710497280274</v>
      </c>
      <c r="U181" s="275">
        <f t="shared" si="60"/>
        <v>2001.0595845126709</v>
      </c>
      <c r="V181" s="275">
        <f t="shared" si="60"/>
        <v>2014.4628198486143</v>
      </c>
      <c r="W181" s="275">
        <f t="shared" si="60"/>
        <v>2028.9058867712758</v>
      </c>
      <c r="X181" s="275">
        <f t="shared" si="60"/>
        <v>2044.5310342417185</v>
      </c>
      <c r="Y181" s="275">
        <f t="shared" si="60"/>
        <v>2061.4999708788787</v>
      </c>
      <c r="Z181" s="275">
        <f t="shared" si="60"/>
        <v>2079.9965270407638</v>
      </c>
      <c r="AA181" s="275">
        <f t="shared" si="60"/>
        <v>2100.229681078355</v>
      </c>
      <c r="AB181" s="275">
        <f t="shared" si="60"/>
        <v>2122.4369995810503</v>
      </c>
      <c r="AC181" s="288">
        <f t="shared" si="60"/>
        <v>2146.8885482476753</v>
      </c>
      <c r="AD181" s="369">
        <f t="shared" si="56"/>
        <v>44314.721410575032</v>
      </c>
    </row>
    <row r="182" spans="1:50" s="112" customFormat="1" ht="12">
      <c r="A182" s="58"/>
      <c r="B182" s="58"/>
      <c r="D182" s="328"/>
      <c r="E182" s="236"/>
      <c r="F182" s="275"/>
      <c r="G182" s="275"/>
      <c r="H182" s="275"/>
      <c r="I182" s="275"/>
      <c r="J182" s="275"/>
      <c r="K182" s="275"/>
      <c r="L182" s="275"/>
      <c r="M182" s="275"/>
      <c r="N182" s="275"/>
      <c r="O182" s="275"/>
      <c r="P182" s="275"/>
      <c r="Q182" s="275"/>
      <c r="R182" s="275"/>
      <c r="S182" s="275"/>
      <c r="T182" s="275"/>
      <c r="U182" s="275"/>
      <c r="V182" s="275"/>
      <c r="W182" s="275"/>
      <c r="X182" s="275"/>
      <c r="Y182" s="275"/>
      <c r="Z182" s="275"/>
      <c r="AA182" s="275"/>
      <c r="AB182" s="275"/>
      <c r="AC182" s="288"/>
      <c r="AD182" s="369">
        <f t="shared" si="56"/>
        <v>0</v>
      </c>
    </row>
    <row r="183" spans="1:50" s="5" customFormat="1" ht="12">
      <c r="A183" s="58"/>
      <c r="B183" s="58"/>
      <c r="C183" s="315" t="s">
        <v>537</v>
      </c>
      <c r="D183" s="231"/>
      <c r="E183" s="239"/>
      <c r="F183" s="309">
        <f>F171+F173+F152+F154+F158+F160+F165+F167+F177+F179+F181</f>
        <v>0</v>
      </c>
      <c r="G183" s="309">
        <f t="shared" ref="G183:AC183" si="61">G171+G173+G152+G154+G158+G160+G165+G167+G177+G179+G181</f>
        <v>190842.00588951103</v>
      </c>
      <c r="H183" s="309">
        <f t="shared" si="61"/>
        <v>383310.56469983124</v>
      </c>
      <c r="I183" s="309">
        <f t="shared" si="61"/>
        <v>384583.37791604642</v>
      </c>
      <c r="J183" s="309">
        <f t="shared" si="61"/>
        <v>385454.05983607884</v>
      </c>
      <c r="K183" s="309">
        <f t="shared" si="61"/>
        <v>385867.59889861115</v>
      </c>
      <c r="L183" s="309">
        <f t="shared" si="61"/>
        <v>385761.45796073711</v>
      </c>
      <c r="M183" s="309">
        <f t="shared" si="61"/>
        <v>385064.54479840095</v>
      </c>
      <c r="N183" s="309">
        <f t="shared" si="61"/>
        <v>383696.04177129641</v>
      </c>
      <c r="O183" s="309">
        <f t="shared" si="61"/>
        <v>378661.67585812701</v>
      </c>
      <c r="P183" s="309">
        <f t="shared" si="61"/>
        <v>372759.40479927766</v>
      </c>
      <c r="Q183" s="309">
        <f t="shared" si="61"/>
        <v>365870.49917081959</v>
      </c>
      <c r="R183" s="309">
        <f t="shared" si="61"/>
        <v>357859.98736363021</v>
      </c>
      <c r="S183" s="309">
        <f t="shared" si="61"/>
        <v>348574.43365245889</v>
      </c>
      <c r="T183" s="309">
        <f t="shared" si="61"/>
        <v>337839.41230484133</v>
      </c>
      <c r="U183" s="309">
        <f t="shared" si="61"/>
        <v>325456.63614811137</v>
      </c>
      <c r="V183" s="309">
        <f t="shared" si="61"/>
        <v>311200.69232438249</v>
      </c>
      <c r="W183" s="309">
        <f t="shared" si="61"/>
        <v>294815.33149680926</v>
      </c>
      <c r="X183" s="309">
        <f t="shared" si="61"/>
        <v>276009.24941926572</v>
      </c>
      <c r="Y183" s="309">
        <f t="shared" si="61"/>
        <v>254451.291424756</v>
      </c>
      <c r="Z183" s="309">
        <f t="shared" si="61"/>
        <v>229765.00088783915</v>
      </c>
      <c r="AA183" s="309">
        <f t="shared" si="61"/>
        <v>201522.42191671379</v>
      </c>
      <c r="AB183" s="309">
        <f t="shared" si="61"/>
        <v>169237.0542535804</v>
      </c>
      <c r="AC183" s="309">
        <f t="shared" si="61"/>
        <v>132355.84440537193</v>
      </c>
      <c r="AD183" s="378">
        <f t="shared" si="56"/>
        <v>7240958.5871964963</v>
      </c>
    </row>
    <row r="184" spans="1:50" s="112" customFormat="1" ht="12">
      <c r="A184" s="109"/>
      <c r="B184" s="58"/>
      <c r="C184" s="110"/>
      <c r="D184" s="227"/>
      <c r="E184" s="235"/>
      <c r="F184" s="111"/>
      <c r="G184" s="111"/>
      <c r="H184" s="111"/>
      <c r="I184" s="111"/>
      <c r="J184" s="111"/>
      <c r="K184" s="111"/>
      <c r="L184" s="111"/>
      <c r="M184" s="111"/>
      <c r="N184" s="111"/>
      <c r="O184" s="111"/>
      <c r="P184" s="111"/>
      <c r="Q184" s="111"/>
      <c r="R184" s="111"/>
      <c r="S184" s="111"/>
      <c r="T184" s="111"/>
      <c r="U184" s="111"/>
      <c r="V184" s="111"/>
      <c r="W184" s="111"/>
      <c r="X184" s="111"/>
      <c r="Y184" s="111"/>
      <c r="Z184" s="111"/>
      <c r="AC184" s="282"/>
      <c r="AD184" s="360">
        <f t="shared" si="56"/>
        <v>0</v>
      </c>
    </row>
    <row r="185" spans="1:50" s="94" customFormat="1" ht="12">
      <c r="A185" s="94" t="s">
        <v>363</v>
      </c>
      <c r="B185" s="58"/>
      <c r="D185" s="230"/>
      <c r="E185" s="241"/>
      <c r="H185" s="93"/>
      <c r="I185" s="93"/>
      <c r="J185" s="93"/>
      <c r="K185" s="93"/>
      <c r="L185" s="93"/>
      <c r="M185" s="93"/>
      <c r="N185" s="93"/>
      <c r="O185" s="93"/>
      <c r="P185" s="93"/>
      <c r="Q185" s="93"/>
      <c r="R185" s="93"/>
      <c r="S185" s="93"/>
      <c r="T185" s="93"/>
      <c r="U185" s="93"/>
      <c r="V185" s="93"/>
      <c r="W185" s="93"/>
      <c r="X185" s="93"/>
      <c r="Y185" s="93"/>
      <c r="AC185" s="293"/>
      <c r="AD185" s="384">
        <f t="shared" si="56"/>
        <v>0</v>
      </c>
    </row>
    <row r="186" spans="1:50" s="112" customFormat="1" ht="12">
      <c r="A186" s="92"/>
      <c r="B186" s="58"/>
      <c r="C186" s="311" t="s">
        <v>519</v>
      </c>
      <c r="D186" s="230"/>
      <c r="E186" s="310">
        <f>SUM(F186:AC186)</f>
        <v>13048144.889723176</v>
      </c>
      <c r="F186" s="275">
        <f t="shared" ref="F186:AC186" si="62">F5+F6+F45+F57+F64+F71+F84+F91+F109+F122+F183+F125+F140+F145</f>
        <v>0</v>
      </c>
      <c r="G186" s="275">
        <f t="shared" si="62"/>
        <v>-1441326.2606254462</v>
      </c>
      <c r="H186" s="275">
        <f t="shared" si="62"/>
        <v>-1635565.9902352346</v>
      </c>
      <c r="I186" s="275">
        <f t="shared" si="62"/>
        <v>805126.46648827463</v>
      </c>
      <c r="J186" s="275">
        <f t="shared" si="62"/>
        <v>808379.19953762414</v>
      </c>
      <c r="K186" s="275">
        <f t="shared" si="62"/>
        <v>811150.0970024959</v>
      </c>
      <c r="L186" s="275">
        <f t="shared" si="62"/>
        <v>813426.61565173615</v>
      </c>
      <c r="M186" s="275">
        <f t="shared" si="62"/>
        <v>815187.04609515087</v>
      </c>
      <c r="N186" s="275">
        <f t="shared" si="62"/>
        <v>816359.52582136565</v>
      </c>
      <c r="O186" s="275">
        <f t="shared" si="62"/>
        <v>812006.16031761875</v>
      </c>
      <c r="P186" s="275">
        <f t="shared" si="62"/>
        <v>808884.44737270649</v>
      </c>
      <c r="Q186" s="275">
        <f t="shared" si="62"/>
        <v>804921.37461646902</v>
      </c>
      <c r="R186" s="275">
        <f t="shared" si="62"/>
        <v>800000.78210747766</v>
      </c>
      <c r="S186" s="275">
        <f t="shared" si="62"/>
        <v>793990.63179964945</v>
      </c>
      <c r="T186" s="275">
        <f t="shared" si="62"/>
        <v>786740.83969532279</v>
      </c>
      <c r="U186" s="275">
        <f t="shared" si="62"/>
        <v>778080.8121155079</v>
      </c>
      <c r="V186" s="275">
        <f t="shared" si="62"/>
        <v>767816.64571361686</v>
      </c>
      <c r="W186" s="275">
        <f t="shared" si="62"/>
        <v>755727.94535143045</v>
      </c>
      <c r="X186" s="275">
        <f t="shared" si="62"/>
        <v>741564.20769744518</v>
      </c>
      <c r="Y186" s="275">
        <f t="shared" si="62"/>
        <v>725040.71129565325</v>
      </c>
      <c r="Z186" s="275">
        <f t="shared" si="62"/>
        <v>706343.04658672516</v>
      </c>
      <c r="AA186" s="275">
        <f t="shared" si="62"/>
        <v>684604.10316044569</v>
      </c>
      <c r="AB186" s="275">
        <f t="shared" si="62"/>
        <v>659407.28954237758</v>
      </c>
      <c r="AC186" s="275">
        <f t="shared" si="62"/>
        <v>630279.19261476095</v>
      </c>
      <c r="AD186" s="369">
        <f t="shared" si="56"/>
        <v>13048144.889723176</v>
      </c>
      <c r="AE186" s="112">
        <v>2036</v>
      </c>
      <c r="AF186" s="112">
        <f>AE186+1</f>
        <v>2037</v>
      </c>
      <c r="AG186" s="112">
        <f t="shared" ref="AG186:AX186" si="63">AF186+1</f>
        <v>2038</v>
      </c>
      <c r="AH186" s="112">
        <f t="shared" si="63"/>
        <v>2039</v>
      </c>
      <c r="AI186" s="112">
        <f t="shared" si="63"/>
        <v>2040</v>
      </c>
      <c r="AJ186" s="112">
        <f t="shared" si="63"/>
        <v>2041</v>
      </c>
      <c r="AK186" s="112">
        <f t="shared" si="63"/>
        <v>2042</v>
      </c>
      <c r="AL186" s="112">
        <f t="shared" si="63"/>
        <v>2043</v>
      </c>
      <c r="AM186" s="112">
        <f t="shared" si="63"/>
        <v>2044</v>
      </c>
      <c r="AN186" s="112">
        <f t="shared" si="63"/>
        <v>2045</v>
      </c>
      <c r="AO186" s="112">
        <f t="shared" si="63"/>
        <v>2046</v>
      </c>
      <c r="AP186" s="112">
        <f t="shared" si="63"/>
        <v>2047</v>
      </c>
      <c r="AQ186" s="112">
        <f t="shared" si="63"/>
        <v>2048</v>
      </c>
      <c r="AR186" s="112">
        <f t="shared" si="63"/>
        <v>2049</v>
      </c>
      <c r="AS186" s="112">
        <f t="shared" si="63"/>
        <v>2050</v>
      </c>
      <c r="AT186" s="112">
        <f t="shared" si="63"/>
        <v>2051</v>
      </c>
      <c r="AU186" s="112">
        <f t="shared" si="63"/>
        <v>2052</v>
      </c>
      <c r="AV186" s="112">
        <f t="shared" si="63"/>
        <v>2053</v>
      </c>
      <c r="AW186" s="112">
        <f t="shared" si="63"/>
        <v>2054</v>
      </c>
      <c r="AX186" s="112">
        <f t="shared" si="63"/>
        <v>2055</v>
      </c>
    </row>
    <row r="187" spans="1:50" s="94" customFormat="1" ht="12">
      <c r="A187" s="92"/>
      <c r="B187" s="58"/>
      <c r="C187" s="70" t="s">
        <v>182</v>
      </c>
      <c r="D187" s="230"/>
      <c r="E187" s="237"/>
      <c r="F187" s="108">
        <f>1/1.03</f>
        <v>0.970873786407767</v>
      </c>
      <c r="G187" s="108">
        <f>F187/1.03</f>
        <v>0.94259590913375435</v>
      </c>
      <c r="H187" s="108">
        <f t="shared" ref="H187:AC187" si="64">G187/1.03</f>
        <v>0.9151416593531595</v>
      </c>
      <c r="I187" s="108">
        <f t="shared" si="64"/>
        <v>0.88848704791568878</v>
      </c>
      <c r="J187" s="108">
        <f t="shared" si="64"/>
        <v>0.86260878438416388</v>
      </c>
      <c r="K187" s="108">
        <f t="shared" si="64"/>
        <v>0.83748425668365423</v>
      </c>
      <c r="L187" s="108">
        <f t="shared" si="64"/>
        <v>0.81309151134335356</v>
      </c>
      <c r="M187" s="108">
        <f t="shared" si="64"/>
        <v>0.7894092343139355</v>
      </c>
      <c r="N187" s="108">
        <f t="shared" si="64"/>
        <v>0.76641673234362673</v>
      </c>
      <c r="O187" s="108">
        <f t="shared" si="64"/>
        <v>0.74409391489672494</v>
      </c>
      <c r="P187" s="108">
        <f t="shared" si="64"/>
        <v>0.7224212765987621</v>
      </c>
      <c r="Q187" s="108">
        <f t="shared" si="64"/>
        <v>0.70137988019297293</v>
      </c>
      <c r="R187" s="108">
        <f t="shared" si="64"/>
        <v>0.68095133999317758</v>
      </c>
      <c r="S187" s="108">
        <f t="shared" si="64"/>
        <v>0.66111780581861901</v>
      </c>
      <c r="T187" s="108">
        <f t="shared" si="64"/>
        <v>0.64186194739671742</v>
      </c>
      <c r="U187" s="108">
        <f t="shared" si="64"/>
        <v>0.62316693922011401</v>
      </c>
      <c r="V187" s="108">
        <f t="shared" si="64"/>
        <v>0.60501644584477088</v>
      </c>
      <c r="W187" s="108">
        <f t="shared" si="64"/>
        <v>0.58739460761628237</v>
      </c>
      <c r="X187" s="108">
        <f t="shared" si="64"/>
        <v>0.57028602681192464</v>
      </c>
      <c r="Y187" s="108">
        <f t="shared" si="64"/>
        <v>0.55367575418633463</v>
      </c>
      <c r="Z187" s="108">
        <f t="shared" si="64"/>
        <v>0.53754927590906276</v>
      </c>
      <c r="AA187" s="108">
        <f t="shared" si="64"/>
        <v>0.52189250088258521</v>
      </c>
      <c r="AB187" s="108">
        <f t="shared" si="64"/>
        <v>0.50669174842969433</v>
      </c>
      <c r="AC187" s="294">
        <f t="shared" si="64"/>
        <v>0.49193373633950904</v>
      </c>
      <c r="AD187" s="385"/>
      <c r="AE187" s="94">
        <f>AC187/1.03</f>
        <v>0.47760556926165926</v>
      </c>
      <c r="AF187" s="94">
        <f>AE187/1.03</f>
        <v>0.4636947274385041</v>
      </c>
      <c r="AG187" s="94">
        <f t="shared" ref="AG187:AX187" si="65">AF187/1.03</f>
        <v>0.45018905576553797</v>
      </c>
      <c r="AH187" s="94">
        <f t="shared" si="65"/>
        <v>0.43707675317042521</v>
      </c>
      <c r="AI187" s="94">
        <f t="shared" si="65"/>
        <v>0.42434636230138367</v>
      </c>
      <c r="AJ187" s="94">
        <f t="shared" si="65"/>
        <v>0.41198675951590646</v>
      </c>
      <c r="AK187" s="94">
        <f t="shared" si="65"/>
        <v>0.39998714516107425</v>
      </c>
      <c r="AL187" s="94">
        <f t="shared" si="65"/>
        <v>0.3883370341369653</v>
      </c>
      <c r="AM187" s="94">
        <f t="shared" si="65"/>
        <v>0.37702624673491775</v>
      </c>
      <c r="AN187" s="94">
        <f t="shared" si="65"/>
        <v>0.3660448997426386</v>
      </c>
      <c r="AO187" s="94">
        <f t="shared" si="65"/>
        <v>0.35538339780838696</v>
      </c>
      <c r="AP187" s="94">
        <f t="shared" si="65"/>
        <v>0.34503242505668635</v>
      </c>
      <c r="AQ187" s="94">
        <f t="shared" si="65"/>
        <v>0.33498293694823916</v>
      </c>
      <c r="AR187" s="94">
        <f t="shared" si="65"/>
        <v>0.3252261523769312</v>
      </c>
      <c r="AS187" s="94">
        <f t="shared" si="65"/>
        <v>0.31575354599702055</v>
      </c>
      <c r="AT187" s="94">
        <f t="shared" si="65"/>
        <v>0.30655684077380635</v>
      </c>
      <c r="AU187" s="94">
        <f t="shared" si="65"/>
        <v>0.29762800075126827</v>
      </c>
      <c r="AV187" s="94">
        <f t="shared" si="65"/>
        <v>0.28895922403035756</v>
      </c>
      <c r="AW187" s="94">
        <f t="shared" si="65"/>
        <v>0.28054293595180346</v>
      </c>
      <c r="AX187" s="94">
        <f t="shared" si="65"/>
        <v>0.27237178247747906</v>
      </c>
    </row>
    <row r="188" spans="1:50" s="112" customFormat="1" ht="12">
      <c r="A188" s="109"/>
      <c r="B188" s="58"/>
      <c r="C188" s="110" t="s">
        <v>180</v>
      </c>
      <c r="D188" s="227"/>
      <c r="E188" s="235">
        <f>SUM(F188:AC188)</f>
        <v>8093805.3064620309</v>
      </c>
      <c r="F188" s="111">
        <f>F186*F187</f>
        <v>0</v>
      </c>
      <c r="G188" s="111">
        <f t="shared" ref="G188:AC188" si="66">G186*G187</f>
        <v>-1358588.2369925971</v>
      </c>
      <c r="H188" s="111">
        <f t="shared" si="66"/>
        <v>-1496774.574285466</v>
      </c>
      <c r="I188" s="111">
        <f t="shared" si="66"/>
        <v>715344.43740895682</v>
      </c>
      <c r="J188" s="111">
        <f t="shared" si="66"/>
        <v>697314.99863459344</v>
      </c>
      <c r="K188" s="111">
        <f t="shared" si="66"/>
        <v>679325.43604700931</v>
      </c>
      <c r="L188" s="111">
        <f t="shared" si="66"/>
        <v>661390.27628717932</v>
      </c>
      <c r="M188" s="111">
        <f t="shared" si="66"/>
        <v>643516.18188061193</v>
      </c>
      <c r="N188" s="111">
        <f t="shared" si="66"/>
        <v>625671.60019760358</v>
      </c>
      <c r="O188" s="111">
        <f t="shared" si="66"/>
        <v>604208.84275099461</v>
      </c>
      <c r="P188" s="111">
        <f t="shared" si="66"/>
        <v>584355.33509187482</v>
      </c>
      <c r="Q188" s="111">
        <f t="shared" si="66"/>
        <v>564555.65729326208</v>
      </c>
      <c r="R188" s="111">
        <f t="shared" si="66"/>
        <v>544761.60457167705</v>
      </c>
      <c r="S188" s="111">
        <f t="shared" si="66"/>
        <v>524921.34433592332</v>
      </c>
      <c r="T188" s="111">
        <f t="shared" si="66"/>
        <v>504979.00746336859</v>
      </c>
      <c r="U188" s="111">
        <f t="shared" si="66"/>
        <v>484874.23815192166</v>
      </c>
      <c r="V188" s="111">
        <f t="shared" si="66"/>
        <v>464541.69805010612</v>
      </c>
      <c r="W188" s="111">
        <f t="shared" si="66"/>
        <v>443910.51992436277</v>
      </c>
      <c r="X188" s="111">
        <f t="shared" si="66"/>
        <v>422903.70563370886</v>
      </c>
      <c r="Y188" s="111">
        <f t="shared" si="66"/>
        <v>401437.46264241735</v>
      </c>
      <c r="Z188" s="111">
        <f t="shared" si="66"/>
        <v>379694.19323609548</v>
      </c>
      <c r="AA188" s="111">
        <f t="shared" si="66"/>
        <v>357289.74751288438</v>
      </c>
      <c r="AB188" s="111">
        <f t="shared" si="66"/>
        <v>334116.23246551299</v>
      </c>
      <c r="AC188" s="416">
        <f t="shared" si="66"/>
        <v>310055.59816002846</v>
      </c>
      <c r="AD188" s="386">
        <f t="shared" si="56"/>
        <v>8093805.3064620309</v>
      </c>
    </row>
    <row r="189" spans="1:50" s="112" customFormat="1" ht="12">
      <c r="A189" s="92"/>
      <c r="B189" s="58"/>
      <c r="C189" s="70" t="s">
        <v>183</v>
      </c>
      <c r="D189" s="230"/>
      <c r="E189" s="237"/>
      <c r="F189" s="108">
        <f>1/1.07</f>
        <v>0.93457943925233644</v>
      </c>
      <c r="G189" s="108">
        <f>F189/1.07</f>
        <v>0.87343872827321156</v>
      </c>
      <c r="H189" s="108">
        <f t="shared" ref="H189:AC189" si="67">G189/1.07</f>
        <v>0.81629787689085187</v>
      </c>
      <c r="I189" s="108">
        <f t="shared" si="67"/>
        <v>0.76289521204752508</v>
      </c>
      <c r="J189" s="108">
        <f t="shared" si="67"/>
        <v>0.71298617948366827</v>
      </c>
      <c r="K189" s="108">
        <f t="shared" si="67"/>
        <v>0.66634222381651231</v>
      </c>
      <c r="L189" s="108">
        <f t="shared" si="67"/>
        <v>0.62274974188459087</v>
      </c>
      <c r="M189" s="108">
        <f t="shared" si="67"/>
        <v>0.58200910456503818</v>
      </c>
      <c r="N189" s="108">
        <f t="shared" si="67"/>
        <v>0.54393374258414784</v>
      </c>
      <c r="O189" s="108">
        <f t="shared" si="67"/>
        <v>0.50834929213471758</v>
      </c>
      <c r="P189" s="108">
        <f t="shared" si="67"/>
        <v>0.4750927963875865</v>
      </c>
      <c r="Q189" s="108">
        <f t="shared" si="67"/>
        <v>0.444011959240735</v>
      </c>
      <c r="R189" s="108">
        <f t="shared" si="67"/>
        <v>0.41496444788853737</v>
      </c>
      <c r="S189" s="108">
        <f t="shared" si="67"/>
        <v>0.38781724101732462</v>
      </c>
      <c r="T189" s="108">
        <f t="shared" si="67"/>
        <v>0.36244601964235945</v>
      </c>
      <c r="U189" s="108">
        <f t="shared" si="67"/>
        <v>0.33873459779659759</v>
      </c>
      <c r="V189" s="108">
        <f t="shared" si="67"/>
        <v>0.3165743904641099</v>
      </c>
      <c r="W189" s="108">
        <f t="shared" si="67"/>
        <v>0.29586391632159803</v>
      </c>
      <c r="X189" s="108">
        <f t="shared" si="67"/>
        <v>0.27650833301083927</v>
      </c>
      <c r="Y189" s="108">
        <f t="shared" si="67"/>
        <v>0.25841900281386848</v>
      </c>
      <c r="Z189" s="108">
        <f t="shared" si="67"/>
        <v>0.24151308674193314</v>
      </c>
      <c r="AA189" s="108">
        <f t="shared" si="67"/>
        <v>0.22571316517937676</v>
      </c>
      <c r="AB189" s="108">
        <f t="shared" si="67"/>
        <v>0.21094688334521192</v>
      </c>
      <c r="AC189" s="294">
        <f t="shared" si="67"/>
        <v>0.19714661994879618</v>
      </c>
      <c r="AD189" s="385"/>
      <c r="AE189" s="112">
        <f>AC189/1.03</f>
        <v>0.19140448538718075</v>
      </c>
      <c r="AF189" s="112">
        <f>AE189/1.03</f>
        <v>0.18582959746328226</v>
      </c>
      <c r="AG189" s="112">
        <f t="shared" ref="AG189:AX189" si="68">AF189/1.03</f>
        <v>0.18041708491580802</v>
      </c>
      <c r="AH189" s="112">
        <f t="shared" si="68"/>
        <v>0.17516221836486215</v>
      </c>
      <c r="AI189" s="112">
        <f t="shared" si="68"/>
        <v>0.17006040617947782</v>
      </c>
      <c r="AJ189" s="112">
        <f t="shared" si="68"/>
        <v>0.16510719046551245</v>
      </c>
      <c r="AK189" s="112">
        <f t="shared" si="68"/>
        <v>0.16029824317040042</v>
      </c>
      <c r="AL189" s="112">
        <f t="shared" si="68"/>
        <v>0.15562936230135963</v>
      </c>
      <c r="AM189" s="112">
        <f t="shared" si="68"/>
        <v>0.1510964682537472</v>
      </c>
      <c r="AN189" s="112">
        <f t="shared" si="68"/>
        <v>0.1466956002463565</v>
      </c>
      <c r="AO189" s="112">
        <f t="shared" si="68"/>
        <v>0.14242291286054029</v>
      </c>
      <c r="AP189" s="112">
        <f t="shared" si="68"/>
        <v>0.13827467268013621</v>
      </c>
      <c r="AQ189" s="112">
        <f t="shared" si="68"/>
        <v>0.13424725502925847</v>
      </c>
      <c r="AR189" s="112">
        <f t="shared" si="68"/>
        <v>0.13033714080510531</v>
      </c>
      <c r="AS189" s="112">
        <f t="shared" si="68"/>
        <v>0.12654091340301485</v>
      </c>
      <c r="AT189" s="112">
        <f t="shared" si="68"/>
        <v>0.12285525573108237</v>
      </c>
      <c r="AU189" s="112">
        <f t="shared" si="68"/>
        <v>0.11927694731173046</v>
      </c>
      <c r="AV189" s="112">
        <f t="shared" si="68"/>
        <v>0.11580286146769947</v>
      </c>
      <c r="AW189" s="112">
        <f t="shared" si="68"/>
        <v>0.11242996258999949</v>
      </c>
      <c r="AX189" s="112">
        <f t="shared" si="68"/>
        <v>0.10915530348543639</v>
      </c>
    </row>
    <row r="190" spans="1:50" s="112" customFormat="1" ht="12">
      <c r="A190" s="109"/>
      <c r="B190" s="58"/>
      <c r="C190" s="110" t="s">
        <v>181</v>
      </c>
      <c r="D190" s="227"/>
      <c r="E190" s="235">
        <f>SUM(F190:AC190)</f>
        <v>4352758.6848524697</v>
      </c>
      <c r="F190" s="111">
        <f>F186*F189</f>
        <v>0</v>
      </c>
      <c r="G190" s="111">
        <f t="shared" ref="G190:AC190" si="69">G186*G189</f>
        <v>-1258910.1761074732</v>
      </c>
      <c r="H190" s="111">
        <f t="shared" si="69"/>
        <v>-1335109.0453439057</v>
      </c>
      <c r="I190" s="111">
        <f t="shared" si="69"/>
        <v>614227.12637664692</v>
      </c>
      <c r="J190" s="111">
        <f t="shared" si="69"/>
        <v>576363.1970523966</v>
      </c>
      <c r="K190" s="111">
        <f t="shared" si="69"/>
        <v>540503.5594856228</v>
      </c>
      <c r="L190" s="111">
        <f t="shared" si="69"/>
        <v>506561.214939175</v>
      </c>
      <c r="M190" s="111">
        <f t="shared" si="69"/>
        <v>474446.28275085724</v>
      </c>
      <c r="N190" s="111">
        <f t="shared" si="69"/>
        <v>444045.4921742357</v>
      </c>
      <c r="O190" s="111">
        <f t="shared" si="69"/>
        <v>412782.75680649147</v>
      </c>
      <c r="P190" s="111">
        <f t="shared" si="69"/>
        <v>384295.17405672668</v>
      </c>
      <c r="Q190" s="111">
        <f t="shared" si="69"/>
        <v>357394.71657820401</v>
      </c>
      <c r="R190" s="111">
        <f t="shared" si="69"/>
        <v>331971.88285762753</v>
      </c>
      <c r="S190" s="111">
        <f t="shared" si="69"/>
        <v>307923.25621814252</v>
      </c>
      <c r="T190" s="111">
        <f t="shared" si="69"/>
        <v>285151.08583765733</v>
      </c>
      <c r="U190" s="111">
        <f t="shared" si="69"/>
        <v>263562.89094519656</v>
      </c>
      <c r="V190" s="111">
        <f t="shared" si="69"/>
        <v>243071.08660498567</v>
      </c>
      <c r="W190" s="111">
        <f t="shared" si="69"/>
        <v>223592.62958534883</v>
      </c>
      <c r="X190" s="111">
        <f t="shared" si="69"/>
        <v>205048.68289092433</v>
      </c>
      <c r="Y190" s="111">
        <f t="shared" si="69"/>
        <v>187364.29761248062</v>
      </c>
      <c r="Z190" s="111">
        <f t="shared" si="69"/>
        <v>170591.08947986108</v>
      </c>
      <c r="AA190" s="111">
        <f t="shared" si="69"/>
        <v>154524.15901913276</v>
      </c>
      <c r="AB190" s="111">
        <f t="shared" si="69"/>
        <v>139099.91258407829</v>
      </c>
      <c r="AC190" s="416">
        <f t="shared" si="69"/>
        <v>124257.41244805638</v>
      </c>
      <c r="AD190" s="386">
        <f t="shared" si="56"/>
        <v>4352758.6848524697</v>
      </c>
    </row>
    <row r="191" spans="1:50" s="53" customFormat="1" ht="12">
      <c r="A191" s="109"/>
      <c r="B191" s="58"/>
      <c r="C191" s="110"/>
      <c r="D191" s="227"/>
      <c r="E191" s="235"/>
      <c r="F191" s="111"/>
      <c r="G191" s="111"/>
      <c r="AC191" s="283"/>
      <c r="AD191" s="361">
        <f t="shared" si="56"/>
        <v>0</v>
      </c>
    </row>
    <row r="192" spans="1:50" s="53" customFormat="1" ht="12">
      <c r="A192" s="45"/>
      <c r="B192" s="58"/>
      <c r="C192" s="302" t="s">
        <v>187</v>
      </c>
      <c r="D192" s="232"/>
      <c r="E192" s="323">
        <f>IRR(F186:AC186)</f>
        <v>0.23271452988636232</v>
      </c>
      <c r="F192" s="45"/>
      <c r="G192" s="57"/>
      <c r="AC192" s="283"/>
      <c r="AD192" s="361"/>
    </row>
    <row r="193" spans="1:53" s="115" customFormat="1" ht="12">
      <c r="A193" s="113"/>
      <c r="B193" s="58"/>
      <c r="C193" s="117"/>
      <c r="D193" s="119"/>
      <c r="E193" s="113"/>
      <c r="F193" s="114"/>
      <c r="G193" s="114"/>
      <c r="H193" s="114"/>
      <c r="I193" s="114"/>
      <c r="J193" s="114"/>
      <c r="K193" s="114"/>
      <c r="L193" s="114"/>
      <c r="M193" s="114"/>
      <c r="N193" s="114"/>
      <c r="O193" s="114"/>
      <c r="P193" s="114"/>
      <c r="Q193" s="114"/>
      <c r="R193" s="114"/>
      <c r="S193" s="114"/>
      <c r="T193" s="114"/>
      <c r="U193" s="114"/>
      <c r="V193" s="114"/>
      <c r="W193" s="114"/>
      <c r="X193" s="114"/>
      <c r="Y193" s="114"/>
      <c r="AC193" s="295"/>
      <c r="AD193" s="387"/>
    </row>
    <row r="194" spans="1:53">
      <c r="A194" s="25"/>
      <c r="B194" s="25"/>
      <c r="C194" s="52"/>
      <c r="D194" s="42"/>
      <c r="E194" s="42"/>
      <c r="F194" s="42"/>
    </row>
    <row r="195" spans="1:53">
      <c r="A195" s="25"/>
      <c r="B195" s="25"/>
      <c r="C195" s="52"/>
      <c r="D195" s="42"/>
      <c r="E195" s="42"/>
      <c r="F195" s="42"/>
    </row>
    <row r="196" spans="1:53" ht="15.75">
      <c r="A196" s="25"/>
      <c r="B196" s="25"/>
      <c r="C196" s="425" t="s">
        <v>1</v>
      </c>
      <c r="D196" s="442">
        <f>SUM(D197:D200)</f>
        <v>9547.6539760637716</v>
      </c>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row>
    <row r="197" spans="1:53" ht="15.75">
      <c r="A197" s="25"/>
      <c r="B197" s="25"/>
      <c r="C197" s="427" t="s">
        <v>199</v>
      </c>
      <c r="D197" s="440">
        <f>-SUM(F197:AC197)/1000</f>
        <v>4171.05</v>
      </c>
      <c r="F197" s="446">
        <f>F6</f>
        <v>0</v>
      </c>
      <c r="G197" s="446">
        <f t="shared" ref="G197:AC197" si="70">G6</f>
        <v>-1733836.4850000001</v>
      </c>
      <c r="H197" s="446">
        <f t="shared" si="70"/>
        <v>-2437213.5150000001</v>
      </c>
      <c r="I197" s="446">
        <f t="shared" si="70"/>
        <v>0</v>
      </c>
      <c r="J197" s="446">
        <f t="shared" si="70"/>
        <v>0</v>
      </c>
      <c r="K197" s="446">
        <f t="shared" si="70"/>
        <v>0</v>
      </c>
      <c r="L197" s="446">
        <f t="shared" si="70"/>
        <v>0</v>
      </c>
      <c r="M197" s="446">
        <f t="shared" si="70"/>
        <v>0</v>
      </c>
      <c r="N197" s="446">
        <f t="shared" si="70"/>
        <v>0</v>
      </c>
      <c r="O197" s="446">
        <f t="shared" si="70"/>
        <v>0</v>
      </c>
      <c r="P197" s="446">
        <f t="shared" si="70"/>
        <v>0</v>
      </c>
      <c r="Q197" s="446">
        <f t="shared" si="70"/>
        <v>0</v>
      </c>
      <c r="R197" s="446">
        <f t="shared" si="70"/>
        <v>0</v>
      </c>
      <c r="S197" s="446">
        <f t="shared" si="70"/>
        <v>0</v>
      </c>
      <c r="T197" s="446">
        <f t="shared" si="70"/>
        <v>0</v>
      </c>
      <c r="U197" s="446">
        <f t="shared" si="70"/>
        <v>0</v>
      </c>
      <c r="V197" s="446">
        <f t="shared" si="70"/>
        <v>0</v>
      </c>
      <c r="W197" s="446">
        <f t="shared" si="70"/>
        <v>0</v>
      </c>
      <c r="X197" s="446">
        <f t="shared" si="70"/>
        <v>0</v>
      </c>
      <c r="Y197" s="446">
        <f t="shared" si="70"/>
        <v>0</v>
      </c>
      <c r="Z197" s="446">
        <f t="shared" si="70"/>
        <v>0</v>
      </c>
      <c r="AA197" s="446">
        <f t="shared" si="70"/>
        <v>0</v>
      </c>
      <c r="AB197" s="446">
        <f t="shared" si="70"/>
        <v>0</v>
      </c>
      <c r="AC197" s="446">
        <f t="shared" si="70"/>
        <v>0</v>
      </c>
    </row>
    <row r="198" spans="1:53" ht="15.75">
      <c r="A198" s="25"/>
      <c r="B198" s="25"/>
      <c r="C198" s="427" t="s">
        <v>200</v>
      </c>
      <c r="D198" s="440">
        <f>-SUM(F198:AC198)/1000</f>
        <v>0</v>
      </c>
      <c r="E198" s="42"/>
      <c r="F198" s="446">
        <f>F5</f>
        <v>0</v>
      </c>
      <c r="G198" s="446">
        <f t="shared" ref="G198:AC198" si="71">G5</f>
        <v>0</v>
      </c>
      <c r="H198" s="446">
        <f t="shared" si="71"/>
        <v>0</v>
      </c>
      <c r="I198" s="446">
        <f t="shared" si="71"/>
        <v>0</v>
      </c>
      <c r="J198" s="446">
        <f t="shared" si="71"/>
        <v>0</v>
      </c>
      <c r="K198" s="446">
        <f t="shared" si="71"/>
        <v>0</v>
      </c>
      <c r="L198" s="446">
        <f t="shared" si="71"/>
        <v>0</v>
      </c>
      <c r="M198" s="446">
        <f t="shared" si="71"/>
        <v>0</v>
      </c>
      <c r="N198" s="446">
        <f t="shared" si="71"/>
        <v>0</v>
      </c>
      <c r="O198" s="446">
        <f t="shared" si="71"/>
        <v>0</v>
      </c>
      <c r="P198" s="446">
        <f t="shared" si="71"/>
        <v>0</v>
      </c>
      <c r="Q198" s="446">
        <f t="shared" si="71"/>
        <v>0</v>
      </c>
      <c r="R198" s="446">
        <f t="shared" si="71"/>
        <v>0</v>
      </c>
      <c r="S198" s="446">
        <f t="shared" si="71"/>
        <v>0</v>
      </c>
      <c r="T198" s="446">
        <f t="shared" si="71"/>
        <v>0</v>
      </c>
      <c r="U198" s="446">
        <f t="shared" si="71"/>
        <v>0</v>
      </c>
      <c r="V198" s="446">
        <f t="shared" si="71"/>
        <v>0</v>
      </c>
      <c r="W198" s="446">
        <f t="shared" si="71"/>
        <v>0</v>
      </c>
      <c r="X198" s="446">
        <f t="shared" si="71"/>
        <v>0</v>
      </c>
      <c r="Y198" s="446">
        <f t="shared" si="71"/>
        <v>0</v>
      </c>
      <c r="Z198" s="446">
        <f t="shared" si="71"/>
        <v>0</v>
      </c>
      <c r="AA198" s="446">
        <f t="shared" si="71"/>
        <v>0</v>
      </c>
      <c r="AB198" s="446">
        <f t="shared" si="71"/>
        <v>0</v>
      </c>
      <c r="AC198" s="446">
        <f t="shared" si="71"/>
        <v>0</v>
      </c>
    </row>
    <row r="199" spans="1:53" ht="15.75">
      <c r="A199" s="25"/>
      <c r="B199" s="25"/>
      <c r="C199" s="428" t="s">
        <v>563</v>
      </c>
      <c r="D199" s="440">
        <f>-SUM(F199:AC199)/1000</f>
        <v>87.14320131255694</v>
      </c>
      <c r="E199" s="42"/>
      <c r="F199" s="446">
        <f>F120</f>
        <v>0</v>
      </c>
      <c r="G199" s="446">
        <f t="shared" ref="G199:AC199" si="72">G120</f>
        <v>-87143.201312556936</v>
      </c>
      <c r="H199" s="446">
        <f t="shared" si="72"/>
        <v>0</v>
      </c>
      <c r="I199" s="446">
        <f t="shared" si="72"/>
        <v>0</v>
      </c>
      <c r="J199" s="446">
        <f t="shared" si="72"/>
        <v>0</v>
      </c>
      <c r="K199" s="446">
        <f t="shared" si="72"/>
        <v>0</v>
      </c>
      <c r="L199" s="446">
        <f t="shared" si="72"/>
        <v>0</v>
      </c>
      <c r="M199" s="446">
        <f t="shared" si="72"/>
        <v>0</v>
      </c>
      <c r="N199" s="446">
        <f t="shared" si="72"/>
        <v>0</v>
      </c>
      <c r="O199" s="446">
        <f t="shared" si="72"/>
        <v>0</v>
      </c>
      <c r="P199" s="446">
        <f t="shared" si="72"/>
        <v>0</v>
      </c>
      <c r="Q199" s="446">
        <f t="shared" si="72"/>
        <v>0</v>
      </c>
      <c r="R199" s="446">
        <f t="shared" si="72"/>
        <v>0</v>
      </c>
      <c r="S199" s="446">
        <f t="shared" si="72"/>
        <v>0</v>
      </c>
      <c r="T199" s="446">
        <f t="shared" si="72"/>
        <v>0</v>
      </c>
      <c r="U199" s="446">
        <f t="shared" si="72"/>
        <v>0</v>
      </c>
      <c r="V199" s="446">
        <f t="shared" si="72"/>
        <v>0</v>
      </c>
      <c r="W199" s="446">
        <f t="shared" si="72"/>
        <v>0</v>
      </c>
      <c r="X199" s="446">
        <f t="shared" si="72"/>
        <v>0</v>
      </c>
      <c r="Y199" s="446">
        <f t="shared" si="72"/>
        <v>0</v>
      </c>
      <c r="Z199" s="446">
        <f t="shared" si="72"/>
        <v>0</v>
      </c>
      <c r="AA199" s="446">
        <f t="shared" si="72"/>
        <v>0</v>
      </c>
      <c r="AB199" s="446">
        <f t="shared" si="72"/>
        <v>0</v>
      </c>
      <c r="AC199" s="446">
        <f t="shared" si="72"/>
        <v>0</v>
      </c>
    </row>
    <row r="200" spans="1:53" ht="15.75">
      <c r="A200" s="25"/>
      <c r="B200" s="25"/>
      <c r="C200" s="427" t="s">
        <v>201</v>
      </c>
      <c r="D200" s="440">
        <f>-SUM(F200:AC200)/1000</f>
        <v>5289.4607747512146</v>
      </c>
      <c r="E200" s="43"/>
      <c r="F200" s="446">
        <f>F152+F154+F165+F167</f>
        <v>0</v>
      </c>
      <c r="G200" s="446">
        <f t="shared" ref="G200:AC200" si="73">G152+G154+G165+G167</f>
        <v>-57803.733414263887</v>
      </c>
      <c r="H200" s="446">
        <f t="shared" si="73"/>
        <v>-119740.05217030222</v>
      </c>
      <c r="I200" s="446">
        <f t="shared" si="73"/>
        <v>-124304.89819363187</v>
      </c>
      <c r="J200" s="446">
        <f t="shared" si="73"/>
        <v>-129361.13815975349</v>
      </c>
      <c r="K200" s="446">
        <f t="shared" si="73"/>
        <v>-134975.9947600411</v>
      </c>
      <c r="L200" s="446">
        <f t="shared" si="73"/>
        <v>-141225.88675004843</v>
      </c>
      <c r="M200" s="446">
        <f t="shared" si="73"/>
        <v>-148197.68697108931</v>
      </c>
      <c r="N200" s="446">
        <f t="shared" si="73"/>
        <v>-155990.152469169</v>
      </c>
      <c r="O200" s="446">
        <f t="shared" si="73"/>
        <v>-164045.28359030216</v>
      </c>
      <c r="P200" s="446">
        <f t="shared" si="73"/>
        <v>-173160.97213522618</v>
      </c>
      <c r="Q200" s="446">
        <f t="shared" si="73"/>
        <v>-183482.30235951557</v>
      </c>
      <c r="R200" s="446">
        <f t="shared" si="73"/>
        <v>-195174.20604490774</v>
      </c>
      <c r="S200" s="446">
        <f t="shared" si="73"/>
        <v>-208424.17764088136</v>
      </c>
      <c r="T200" s="446">
        <f t="shared" si="73"/>
        <v>-223445.36083760398</v>
      </c>
      <c r="U200" s="446">
        <f t="shared" si="73"/>
        <v>-240480.05738205824</v>
      </c>
      <c r="V200" s="446">
        <f t="shared" si="73"/>
        <v>-259803.7159002136</v>
      </c>
      <c r="W200" s="446">
        <f t="shared" si="73"/>
        <v>-281729.46639007248</v>
      </c>
      <c r="X200" s="446">
        <f t="shared" si="73"/>
        <v>-306613.27503336396</v>
      </c>
      <c r="Y200" s="446">
        <f t="shared" si="73"/>
        <v>-334859.80418547743</v>
      </c>
      <c r="Z200" s="446">
        <f t="shared" si="73"/>
        <v>-366929.07401201996</v>
      </c>
      <c r="AA200" s="446">
        <f t="shared" si="73"/>
        <v>-403344.03543725342</v>
      </c>
      <c r="AB200" s="446">
        <f t="shared" si="73"/>
        <v>-444699.17907187849</v>
      </c>
      <c r="AC200" s="446">
        <f t="shared" si="73"/>
        <v>-491670.32184214029</v>
      </c>
    </row>
    <row r="201" spans="1:53" ht="15.75">
      <c r="A201" s="25"/>
      <c r="B201" s="25"/>
      <c r="C201" s="426"/>
      <c r="D201" s="441"/>
      <c r="F201" s="438">
        <f>SUM(F197:F200)</f>
        <v>0</v>
      </c>
      <c r="G201" s="438">
        <f t="shared" ref="G201:AC201" si="74">SUM(G197:G200)</f>
        <v>-1878783.4197268209</v>
      </c>
      <c r="H201" s="438">
        <f t="shared" si="74"/>
        <v>-2556953.5671703024</v>
      </c>
      <c r="I201" s="438">
        <f t="shared" si="74"/>
        <v>-124304.89819363187</v>
      </c>
      <c r="J201" s="438">
        <f t="shared" si="74"/>
        <v>-129361.13815975349</v>
      </c>
      <c r="K201" s="438">
        <f t="shared" si="74"/>
        <v>-134975.9947600411</v>
      </c>
      <c r="L201" s="438">
        <f t="shared" si="74"/>
        <v>-141225.88675004843</v>
      </c>
      <c r="M201" s="438">
        <f t="shared" si="74"/>
        <v>-148197.68697108931</v>
      </c>
      <c r="N201" s="438">
        <f t="shared" si="74"/>
        <v>-155990.152469169</v>
      </c>
      <c r="O201" s="438">
        <f t="shared" si="74"/>
        <v>-164045.28359030216</v>
      </c>
      <c r="P201" s="438">
        <f t="shared" si="74"/>
        <v>-173160.97213522618</v>
      </c>
      <c r="Q201" s="438">
        <f t="shared" si="74"/>
        <v>-183482.30235951557</v>
      </c>
      <c r="R201" s="438">
        <f t="shared" si="74"/>
        <v>-195174.20604490774</v>
      </c>
      <c r="S201" s="438">
        <f t="shared" si="74"/>
        <v>-208424.17764088136</v>
      </c>
      <c r="T201" s="438">
        <f t="shared" si="74"/>
        <v>-223445.36083760398</v>
      </c>
      <c r="U201" s="438">
        <f t="shared" si="74"/>
        <v>-240480.05738205824</v>
      </c>
      <c r="V201" s="438">
        <f t="shared" si="74"/>
        <v>-259803.7159002136</v>
      </c>
      <c r="W201" s="438">
        <f t="shared" si="74"/>
        <v>-281729.46639007248</v>
      </c>
      <c r="X201" s="438">
        <f t="shared" si="74"/>
        <v>-306613.27503336396</v>
      </c>
      <c r="Y201" s="438">
        <f t="shared" si="74"/>
        <v>-334859.80418547743</v>
      </c>
      <c r="Z201" s="438">
        <f t="shared" si="74"/>
        <v>-366929.07401201996</v>
      </c>
      <c r="AA201" s="438">
        <f t="shared" si="74"/>
        <v>-403344.03543725342</v>
      </c>
      <c r="AB201" s="438">
        <f t="shared" si="74"/>
        <v>-444699.17907187849</v>
      </c>
      <c r="AC201" s="438">
        <f t="shared" si="74"/>
        <v>-491670.32184214029</v>
      </c>
    </row>
    <row r="202" spans="1:53" s="76" customFormat="1" ht="15.75">
      <c r="A202" s="25"/>
      <c r="B202" s="25"/>
      <c r="C202" s="425" t="s">
        <v>0</v>
      </c>
      <c r="D202" s="442">
        <f>SUM(D203:D209)</f>
        <v>22595.798865786943</v>
      </c>
      <c r="E202" s="25"/>
      <c r="F202" s="25"/>
      <c r="G202" s="25"/>
      <c r="H202" s="25"/>
      <c r="I202" s="25"/>
      <c r="J202" s="25"/>
      <c r="K202" s="25"/>
      <c r="L202" s="25"/>
      <c r="M202" s="25"/>
      <c r="N202" s="25"/>
      <c r="O202" s="25"/>
      <c r="P202" s="25"/>
      <c r="Q202" s="25"/>
      <c r="R202" s="25"/>
      <c r="S202" s="25"/>
      <c r="T202" s="25"/>
      <c r="U202" s="25"/>
      <c r="V202" s="25"/>
      <c r="W202" s="25"/>
      <c r="X202" s="25"/>
      <c r="Y202" s="25"/>
      <c r="Z202" s="25"/>
      <c r="AA202" s="25"/>
      <c r="AB202" s="25"/>
      <c r="AC202" s="25"/>
      <c r="AD202" s="358"/>
      <c r="AE202"/>
      <c r="AF202"/>
      <c r="AG202"/>
      <c r="AH202"/>
      <c r="AI202"/>
      <c r="AJ202"/>
      <c r="AK202"/>
      <c r="AL202"/>
      <c r="AM202"/>
      <c r="AN202"/>
      <c r="AO202"/>
      <c r="AP202"/>
      <c r="AQ202"/>
      <c r="AR202"/>
      <c r="AS202"/>
      <c r="AT202"/>
      <c r="AU202"/>
      <c r="AV202"/>
      <c r="AW202"/>
      <c r="AX202"/>
      <c r="AY202"/>
      <c r="AZ202"/>
      <c r="BA202"/>
    </row>
    <row r="203" spans="1:53" s="76" customFormat="1" ht="15.75">
      <c r="A203" s="25"/>
      <c r="B203" s="25"/>
      <c r="C203" s="427" t="s">
        <v>599</v>
      </c>
      <c r="D203" s="440">
        <f t="shared" ref="D203:D209" si="75">SUM(F203:AC203)/1000</f>
        <v>255.96233524187758</v>
      </c>
      <c r="E203" s="25"/>
      <c r="F203" s="447">
        <f>F45+F57+F71+F84</f>
        <v>0</v>
      </c>
      <c r="G203" s="447">
        <f>G45+G57+G71+G84</f>
        <v>1560.1927223397731</v>
      </c>
      <c r="H203" s="447">
        <f t="shared" ref="H203:AC203" si="76">H45+H57+H71+H84</f>
        <v>3799.0279725418777</v>
      </c>
      <c r="I203" s="447">
        <f t="shared" si="76"/>
        <v>4493.8013045234484</v>
      </c>
      <c r="J203" s="447">
        <f t="shared" si="76"/>
        <v>5204.6572670713076</v>
      </c>
      <c r="K203" s="447">
        <f t="shared" si="76"/>
        <v>5931.5293357562932</v>
      </c>
      <c r="L203" s="447">
        <f t="shared" si="76"/>
        <v>6674.3315262770866</v>
      </c>
      <c r="M203" s="447">
        <f t="shared" si="76"/>
        <v>7432.9573787410791</v>
      </c>
      <c r="N203" s="447">
        <f t="shared" si="76"/>
        <v>8207.2790843916155</v>
      </c>
      <c r="O203" s="447">
        <f t="shared" si="76"/>
        <v>8934.1067555022328</v>
      </c>
      <c r="P203" s="447">
        <f t="shared" si="76"/>
        <v>9666.2229309012218</v>
      </c>
      <c r="Q203" s="447">
        <f t="shared" si="76"/>
        <v>10403.325585682373</v>
      </c>
      <c r="R203" s="447">
        <f t="shared" si="76"/>
        <v>11145.08920774955</v>
      </c>
      <c r="S203" s="447">
        <f t="shared" si="76"/>
        <v>11891.16586402652</v>
      </c>
      <c r="T203" s="447">
        <f t="shared" si="76"/>
        <v>12641.187059222419</v>
      </c>
      <c r="U203" s="447">
        <f t="shared" si="76"/>
        <v>13394.766590438852</v>
      </c>
      <c r="V203" s="447">
        <f t="shared" si="76"/>
        <v>14151.504642608135</v>
      </c>
      <c r="W203" s="447">
        <f t="shared" si="76"/>
        <v>14910.993419202612</v>
      </c>
      <c r="X203" s="447">
        <f t="shared" si="76"/>
        <v>15672.824661205766</v>
      </c>
      <c r="Y203" s="447">
        <f t="shared" si="76"/>
        <v>16436.599476578438</v>
      </c>
      <c r="Z203" s="447">
        <f t="shared" si="76"/>
        <v>17201.940984249806</v>
      </c>
      <c r="AA203" s="447">
        <f t="shared" si="76"/>
        <v>17968.510373173576</v>
      </c>
      <c r="AB203" s="447">
        <f t="shared" si="76"/>
        <v>18736.027090755873</v>
      </c>
      <c r="AC203" s="447">
        <f t="shared" si="76"/>
        <v>19504.294008937755</v>
      </c>
      <c r="AD203" s="358"/>
      <c r="AE203"/>
      <c r="AF203"/>
      <c r="AG203"/>
      <c r="AH203"/>
      <c r="AI203"/>
      <c r="AJ203"/>
      <c r="AK203"/>
      <c r="AL203"/>
      <c r="AM203"/>
      <c r="AN203"/>
      <c r="AO203"/>
      <c r="AP203"/>
      <c r="AQ203"/>
      <c r="AR203"/>
      <c r="AS203"/>
      <c r="AT203"/>
      <c r="AU203"/>
      <c r="AV203"/>
      <c r="AW203"/>
      <c r="AX203"/>
      <c r="AY203"/>
      <c r="AZ203"/>
      <c r="BA203"/>
    </row>
    <row r="204" spans="1:53" s="76" customFormat="1" ht="15.75">
      <c r="A204" s="25"/>
      <c r="B204" s="25"/>
      <c r="C204" s="427" t="s">
        <v>600</v>
      </c>
      <c r="D204" s="440">
        <f t="shared" si="75"/>
        <v>6715.6738901315857</v>
      </c>
      <c r="E204" s="25"/>
      <c r="F204" s="446">
        <f>F64+F91</f>
        <v>0</v>
      </c>
      <c r="G204" s="446">
        <f t="shared" ref="G204:AC204" si="77">G64+G91</f>
        <v>135165.86932159</v>
      </c>
      <c r="H204" s="446">
        <f t="shared" si="77"/>
        <v>273349.63829346473</v>
      </c>
      <c r="I204" s="446">
        <f t="shared" si="77"/>
        <v>276393.50436873891</v>
      </c>
      <c r="J204" s="446">
        <f t="shared" si="77"/>
        <v>279466.88907594077</v>
      </c>
      <c r="K204" s="446">
        <f t="shared" si="77"/>
        <v>282573.83056391851</v>
      </c>
      <c r="L204" s="446">
        <f t="shared" si="77"/>
        <v>285718.91940028191</v>
      </c>
      <c r="M204" s="446">
        <f t="shared" si="77"/>
        <v>288907.37414229033</v>
      </c>
      <c r="N204" s="446">
        <f t="shared" si="77"/>
        <v>292145.12724583573</v>
      </c>
      <c r="O204" s="446">
        <f t="shared" si="77"/>
        <v>293490.31938902591</v>
      </c>
      <c r="P204" s="446">
        <f t="shared" si="77"/>
        <v>294899.22050683916</v>
      </c>
      <c r="Q204" s="446">
        <f t="shared" si="77"/>
        <v>296380.54598700401</v>
      </c>
      <c r="R204" s="446">
        <f t="shared" si="77"/>
        <v>297944.20348229015</v>
      </c>
      <c r="S204" s="446">
        <f t="shared" si="77"/>
        <v>299601.45601236611</v>
      </c>
      <c r="T204" s="446">
        <f t="shared" si="77"/>
        <v>301365.1073779912</v>
      </c>
      <c r="U204" s="446">
        <f t="shared" si="77"/>
        <v>303249.71293986856</v>
      </c>
      <c r="V204" s="446">
        <f t="shared" si="77"/>
        <v>305271.8192320455</v>
      </c>
      <c r="W204" s="446">
        <f t="shared" si="77"/>
        <v>307450.23635442695</v>
      </c>
      <c r="X204" s="446">
        <f t="shared" si="77"/>
        <v>309806.34762858495</v>
      </c>
      <c r="Y204" s="446">
        <f t="shared" si="77"/>
        <v>312364.4616144824</v>
      </c>
      <c r="Z204" s="446">
        <f t="shared" si="77"/>
        <v>315152.21228308551</v>
      </c>
      <c r="AA204" s="446">
        <f t="shared" si="77"/>
        <v>318201.01393258816</v>
      </c>
      <c r="AB204" s="446">
        <f t="shared" si="77"/>
        <v>321546.57833717746</v>
      </c>
      <c r="AC204" s="446">
        <f t="shared" si="77"/>
        <v>325229.50264174934</v>
      </c>
      <c r="AD204" s="358"/>
      <c r="AE204"/>
      <c r="AF204"/>
      <c r="AG204"/>
      <c r="AH204"/>
      <c r="AI204"/>
      <c r="AJ204"/>
      <c r="AK204"/>
      <c r="AL204"/>
      <c r="AM204"/>
      <c r="AN204"/>
      <c r="AO204"/>
      <c r="AP204"/>
      <c r="AQ204"/>
      <c r="AR204"/>
      <c r="AS204"/>
      <c r="AT204"/>
      <c r="AU204"/>
      <c r="AV204"/>
      <c r="AW204"/>
      <c r="AX204"/>
      <c r="AY204"/>
      <c r="AZ204"/>
      <c r="BA204"/>
    </row>
    <row r="205" spans="1:53" s="76" customFormat="1" ht="15.75">
      <c r="A205" s="25"/>
      <c r="B205" s="25"/>
      <c r="C205" s="427" t="s">
        <v>202</v>
      </c>
      <c r="D205" s="440">
        <f t="shared" si="75"/>
        <v>199.24970257427637</v>
      </c>
      <c r="E205" s="25"/>
      <c r="F205" s="446">
        <f>F109</f>
        <v>0</v>
      </c>
      <c r="G205" s="446">
        <f t="shared" ref="G205:AC205" si="78">G109</f>
        <v>744.36365024744407</v>
      </c>
      <c r="H205" s="446">
        <f t="shared" si="78"/>
        <v>1840.4399258517867</v>
      </c>
      <c r="I205" s="446">
        <f t="shared" si="78"/>
        <v>2215.4627720736439</v>
      </c>
      <c r="J205" s="446">
        <f t="shared" si="78"/>
        <v>2616.2384929581303</v>
      </c>
      <c r="K205" s="446">
        <f t="shared" si="78"/>
        <v>3045.540766092035</v>
      </c>
      <c r="L205" s="446">
        <f t="shared" si="78"/>
        <v>3506.5201587001916</v>
      </c>
      <c r="M205" s="446">
        <f t="shared" si="78"/>
        <v>4002.7563662973321</v>
      </c>
      <c r="N205" s="446">
        <f t="shared" si="78"/>
        <v>4538.3177105121122</v>
      </c>
      <c r="O205" s="446">
        <f t="shared" si="78"/>
        <v>5100.4800310629007</v>
      </c>
      <c r="P205" s="446">
        <f t="shared" si="78"/>
        <v>5708.488734192777</v>
      </c>
      <c r="Q205" s="446">
        <f t="shared" si="78"/>
        <v>6368.2878204568278</v>
      </c>
      <c r="R205" s="446">
        <f t="shared" si="78"/>
        <v>7086.6424139018764</v>
      </c>
      <c r="S205" s="446">
        <f t="shared" si="78"/>
        <v>7871.2528152444902</v>
      </c>
      <c r="T205" s="446">
        <f t="shared" si="78"/>
        <v>8730.8844164069451</v>
      </c>
      <c r="U205" s="446">
        <f t="shared" si="78"/>
        <v>9675.5156841951612</v>
      </c>
      <c r="V205" s="446">
        <f t="shared" si="78"/>
        <v>10716.506728484723</v>
      </c>
      <c r="W205" s="446">
        <f t="shared" si="78"/>
        <v>11866.791320758197</v>
      </c>
      <c r="X205" s="446">
        <f t="shared" si="78"/>
        <v>13141.09562819175</v>
      </c>
      <c r="Y205" s="446">
        <f t="shared" si="78"/>
        <v>14556.187383551853</v>
      </c>
      <c r="Z205" s="446">
        <f t="shared" si="78"/>
        <v>16131.159729706093</v>
      </c>
      <c r="AA205" s="446">
        <f t="shared" si="78"/>
        <v>17887.754568446147</v>
      </c>
      <c r="AB205" s="446">
        <f t="shared" si="78"/>
        <v>19850.730916668163</v>
      </c>
      <c r="AC205" s="446">
        <f t="shared" si="78"/>
        <v>22048.284540275807</v>
      </c>
      <c r="AD205" s="358"/>
      <c r="AE205"/>
      <c r="AF205"/>
      <c r="AG205"/>
      <c r="AH205"/>
      <c r="AI205"/>
      <c r="AJ205"/>
      <c r="AK205"/>
      <c r="AL205"/>
      <c r="AM205"/>
      <c r="AN205"/>
      <c r="AO205"/>
      <c r="AP205"/>
      <c r="AQ205"/>
      <c r="AR205"/>
      <c r="AS205"/>
      <c r="AT205"/>
      <c r="AU205"/>
      <c r="AV205"/>
      <c r="AW205"/>
      <c r="AX205"/>
      <c r="AY205"/>
      <c r="AZ205"/>
      <c r="BA205"/>
    </row>
    <row r="206" spans="1:53" ht="15.75">
      <c r="C206" s="427" t="s">
        <v>203</v>
      </c>
      <c r="D206" s="440">
        <f t="shared" si="75"/>
        <v>1307.9974435220961</v>
      </c>
      <c r="F206" s="446">
        <f>F122-F120</f>
        <v>0</v>
      </c>
      <c r="G206" s="446">
        <f t="shared" ref="G206:AC206" si="79">G122-G120</f>
        <v>7864.1680569679593</v>
      </c>
      <c r="H206" s="446">
        <f t="shared" si="79"/>
        <v>54868.050109816941</v>
      </c>
      <c r="I206" s="446">
        <f t="shared" si="79"/>
        <v>55450.50173130371</v>
      </c>
      <c r="J206" s="446">
        <f t="shared" si="79"/>
        <v>56034.654571462306</v>
      </c>
      <c r="K206" s="446">
        <f t="shared" si="79"/>
        <v>56620.741357007057</v>
      </c>
      <c r="L206" s="446">
        <f t="shared" si="79"/>
        <v>57209.026651666754</v>
      </c>
      <c r="M206" s="446">
        <f t="shared" si="79"/>
        <v>57799.811211488326</v>
      </c>
      <c r="N206" s="446">
        <f t="shared" si="79"/>
        <v>58393.436935945938</v>
      </c>
      <c r="O206" s="446">
        <f t="shared" si="79"/>
        <v>58597.541187422998</v>
      </c>
      <c r="P206" s="446">
        <f t="shared" si="79"/>
        <v>58805.317116417398</v>
      </c>
      <c r="Q206" s="446">
        <f t="shared" si="79"/>
        <v>59017.267008413473</v>
      </c>
      <c r="R206" s="446">
        <f t="shared" si="79"/>
        <v>59233.961861549877</v>
      </c>
      <c r="S206" s="446">
        <f t="shared" si="79"/>
        <v>59456.050786510605</v>
      </c>
      <c r="T206" s="446">
        <f t="shared" si="79"/>
        <v>59684.271692321214</v>
      </c>
      <c r="U206" s="446">
        <f t="shared" si="79"/>
        <v>59919.463433961966</v>
      </c>
      <c r="V206" s="446">
        <f t="shared" si="79"/>
        <v>60162.579621774443</v>
      </c>
      <c r="W206" s="446">
        <f t="shared" si="79"/>
        <v>60414.704319994926</v>
      </c>
      <c r="X206" s="446">
        <f t="shared" si="79"/>
        <v>60677.069892847227</v>
      </c>
      <c r="Y206" s="446">
        <f t="shared" si="79"/>
        <v>60951.077291980968</v>
      </c>
      <c r="Z206" s="446">
        <f t="shared" si="79"/>
        <v>61238.319119231477</v>
      </c>
      <c r="AA206" s="446">
        <f t="shared" si="79"/>
        <v>61540.605844365113</v>
      </c>
      <c r="AB206" s="446">
        <f t="shared" si="79"/>
        <v>61859.995609412275</v>
      </c>
      <c r="AC206" s="446">
        <f t="shared" si="79"/>
        <v>62198.828110233168</v>
      </c>
    </row>
    <row r="207" spans="1:53" s="76" customFormat="1" ht="15.75">
      <c r="A207" s="25"/>
      <c r="B207" s="25"/>
      <c r="C207" s="427" t="s">
        <v>204</v>
      </c>
      <c r="D207" s="440">
        <f t="shared" si="75"/>
        <v>1585.8977828968711</v>
      </c>
      <c r="E207" s="25"/>
      <c r="F207" s="446">
        <f>F140+F124</f>
        <v>0</v>
      </c>
      <c r="G207" s="446">
        <f t="shared" ref="G207:AC207" si="80">G140+G124</f>
        <v>43474.554642392868</v>
      </c>
      <c r="H207" s="446">
        <f t="shared" si="80"/>
        <v>84474.639498983626</v>
      </c>
      <c r="I207" s="446">
        <f t="shared" si="80"/>
        <v>81983.947659960351</v>
      </c>
      <c r="J207" s="446">
        <f t="shared" si="80"/>
        <v>79596.026441850729</v>
      </c>
      <c r="K207" s="446">
        <f t="shared" si="80"/>
        <v>77103.269245859192</v>
      </c>
      <c r="L207" s="446">
        <f t="shared" si="80"/>
        <v>74547.735239759029</v>
      </c>
      <c r="M207" s="446">
        <f t="shared" si="80"/>
        <v>71969.797622700789</v>
      </c>
      <c r="N207" s="446">
        <f t="shared" si="80"/>
        <v>69368.177232260001</v>
      </c>
      <c r="O207" s="446">
        <f t="shared" si="80"/>
        <v>67209.366504287973</v>
      </c>
      <c r="P207" s="446">
        <f t="shared" si="80"/>
        <v>67031.389355877094</v>
      </c>
      <c r="Q207" s="446">
        <f t="shared" si="80"/>
        <v>66865.074657376856</v>
      </c>
      <c r="R207" s="446">
        <f t="shared" si="80"/>
        <v>66712.28337553743</v>
      </c>
      <c r="S207" s="446">
        <f t="shared" si="80"/>
        <v>66575.111815918644</v>
      </c>
      <c r="T207" s="446">
        <f t="shared" si="80"/>
        <v>66455.921186708074</v>
      </c>
      <c r="U207" s="446">
        <f t="shared" si="80"/>
        <v>66357.370847109138</v>
      </c>
      <c r="V207" s="446">
        <f t="shared" si="80"/>
        <v>66282.455695153374</v>
      </c>
      <c r="W207" s="446">
        <f t="shared" si="80"/>
        <v>66234.548205287938</v>
      </c>
      <c r="X207" s="446">
        <f t="shared" si="80"/>
        <v>66217.445688257882</v>
      </c>
      <c r="Y207" s="446">
        <f t="shared" si="80"/>
        <v>66235.423415431913</v>
      </c>
      <c r="Z207" s="446">
        <f t="shared" si="80"/>
        <v>66802.495143503955</v>
      </c>
      <c r="AA207" s="446">
        <f t="shared" si="80"/>
        <v>67424.775643579473</v>
      </c>
      <c r="AB207" s="446">
        <f t="shared" si="80"/>
        <v>68109.808396604072</v>
      </c>
      <c r="AC207" s="446">
        <f t="shared" si="80"/>
        <v>68866.165382470659</v>
      </c>
      <c r="AD207" s="358"/>
      <c r="AE207"/>
      <c r="AF207"/>
      <c r="AG207"/>
      <c r="AH207"/>
      <c r="AI207"/>
      <c r="AJ207"/>
      <c r="AK207"/>
      <c r="AL207"/>
      <c r="AM207"/>
      <c r="AN207"/>
      <c r="AO207"/>
      <c r="AP207"/>
      <c r="AQ207"/>
      <c r="AR207"/>
      <c r="AS207"/>
      <c r="AT207"/>
      <c r="AU207"/>
      <c r="AV207"/>
      <c r="AW207"/>
      <c r="AX207"/>
      <c r="AY207"/>
      <c r="AZ207"/>
      <c r="BA207"/>
    </row>
    <row r="208" spans="1:53" s="76" customFormat="1" ht="15.75">
      <c r="A208" s="36"/>
      <c r="B208" s="36"/>
      <c r="C208" s="427" t="s">
        <v>601</v>
      </c>
      <c r="D208" s="440">
        <f t="shared" si="75"/>
        <v>0.59834947252607162</v>
      </c>
      <c r="E208" s="25"/>
      <c r="F208" s="446">
        <f>F145</f>
        <v>0</v>
      </c>
      <c r="G208" s="446">
        <f t="shared" ref="G208:AC208" si="81">G145</f>
        <v>2.2714040619771199</v>
      </c>
      <c r="H208" s="446">
        <f t="shared" si="81"/>
        <v>5.1642642753111794</v>
      </c>
      <c r="I208" s="446">
        <f t="shared" si="81"/>
        <v>5.8707356281737493</v>
      </c>
      <c r="J208" s="446">
        <f t="shared" si="81"/>
        <v>6.6738522621079177</v>
      </c>
      <c r="K208" s="446">
        <f t="shared" si="81"/>
        <v>7.5868352515642803</v>
      </c>
      <c r="L208" s="446">
        <f t="shared" si="81"/>
        <v>8.6247143139782736</v>
      </c>
      <c r="M208" s="446">
        <f t="shared" si="81"/>
        <v>9.8045752321305049</v>
      </c>
      <c r="N208" s="446">
        <f t="shared" si="81"/>
        <v>11.145841123885956</v>
      </c>
      <c r="O208" s="446">
        <f t="shared" si="81"/>
        <v>12.670592189633556</v>
      </c>
      <c r="P208" s="446">
        <f t="shared" si="81"/>
        <v>14.403929201175428</v>
      </c>
      <c r="Q208" s="446">
        <f t="shared" si="81"/>
        <v>16.374386715896225</v>
      </c>
      <c r="R208" s="446">
        <f t="shared" si="81"/>
        <v>18.614402818630829</v>
      </c>
      <c r="S208" s="446">
        <f t="shared" si="81"/>
        <v>21.160853124219528</v>
      </c>
      <c r="T208" s="446">
        <f t="shared" si="81"/>
        <v>24.055657831612759</v>
      </c>
      <c r="U208" s="446">
        <f t="shared" si="81"/>
        <v>27.346471822977392</v>
      </c>
      <c r="V208" s="446">
        <f t="shared" si="81"/>
        <v>31.087469168360702</v>
      </c>
      <c r="W208" s="446">
        <f t="shared" si="81"/>
        <v>35.340234950592446</v>
      </c>
      <c r="X208" s="446">
        <f t="shared" si="81"/>
        <v>40.1747790918335</v>
      </c>
      <c r="Y208" s="446">
        <f t="shared" si="81"/>
        <v>45.670688871596312</v>
      </c>
      <c r="Z208" s="446">
        <f t="shared" si="81"/>
        <v>51.918439109230697</v>
      </c>
      <c r="AA208" s="446">
        <f t="shared" si="81"/>
        <v>59.020881579373459</v>
      </c>
      <c r="AB208" s="446">
        <f t="shared" si="81"/>
        <v>67.094938179431736</v>
      </c>
      <c r="AC208" s="446">
        <f t="shared" si="81"/>
        <v>76.273525722377997</v>
      </c>
      <c r="AD208" s="358"/>
      <c r="AE208"/>
      <c r="AF208"/>
      <c r="AG208"/>
      <c r="AH208"/>
      <c r="AI208"/>
      <c r="AJ208"/>
      <c r="AK208"/>
      <c r="AL208"/>
      <c r="AM208"/>
      <c r="AN208"/>
      <c r="AO208"/>
      <c r="AP208"/>
      <c r="AQ208"/>
      <c r="AR208"/>
      <c r="AS208"/>
      <c r="AT208"/>
      <c r="AU208"/>
      <c r="AV208"/>
      <c r="AW208"/>
      <c r="AX208"/>
      <c r="AY208"/>
      <c r="AZ208"/>
      <c r="BA208"/>
    </row>
    <row r="209" spans="1:53" s="76" customFormat="1" ht="15.75">
      <c r="A209" s="25"/>
      <c r="B209" s="25"/>
      <c r="C209" s="427" t="s">
        <v>205</v>
      </c>
      <c r="D209" s="440">
        <f t="shared" si="75"/>
        <v>12530.419361947712</v>
      </c>
      <c r="E209" s="25"/>
      <c r="F209" s="446">
        <f>F158+F160+F171+F173+F177+F179+F181</f>
        <v>0</v>
      </c>
      <c r="G209" s="446">
        <f t="shared" ref="G209:AC209" si="82">G158+G160+G171+G173+G177+G179+G181</f>
        <v>248645.73930377487</v>
      </c>
      <c r="H209" s="446">
        <f t="shared" si="82"/>
        <v>503050.6168701335</v>
      </c>
      <c r="I209" s="446">
        <f t="shared" si="82"/>
        <v>508888.27610967826</v>
      </c>
      <c r="J209" s="446">
        <f t="shared" si="82"/>
        <v>514815.19799583236</v>
      </c>
      <c r="K209" s="446">
        <f t="shared" si="82"/>
        <v>520843.59365865227</v>
      </c>
      <c r="L209" s="446">
        <f t="shared" si="82"/>
        <v>526987.34471078555</v>
      </c>
      <c r="M209" s="446">
        <f t="shared" si="82"/>
        <v>533262.2317694904</v>
      </c>
      <c r="N209" s="446">
        <f t="shared" si="82"/>
        <v>539686.19424046541</v>
      </c>
      <c r="O209" s="446">
        <f t="shared" si="82"/>
        <v>542706.95944842906</v>
      </c>
      <c r="P209" s="446">
        <f t="shared" si="82"/>
        <v>545920.37693450379</v>
      </c>
      <c r="Q209" s="446">
        <f t="shared" si="82"/>
        <v>549352.80153033521</v>
      </c>
      <c r="R209" s="446">
        <f t="shared" si="82"/>
        <v>553034.19340853789</v>
      </c>
      <c r="S209" s="446">
        <f t="shared" si="82"/>
        <v>556998.61129334033</v>
      </c>
      <c r="T209" s="446">
        <f t="shared" si="82"/>
        <v>561284.77314244548</v>
      </c>
      <c r="U209" s="446">
        <f t="shared" si="82"/>
        <v>565936.69353016966</v>
      </c>
      <c r="V209" s="446">
        <f t="shared" si="82"/>
        <v>571004.40822459594</v>
      </c>
      <c r="W209" s="446">
        <f t="shared" si="82"/>
        <v>576544.79788688163</v>
      </c>
      <c r="X209" s="446">
        <f t="shared" si="82"/>
        <v>582622.52445262973</v>
      </c>
      <c r="Y209" s="446">
        <f t="shared" si="82"/>
        <v>589311.09561023337</v>
      </c>
      <c r="Z209" s="446">
        <f t="shared" si="82"/>
        <v>596694.07489985914</v>
      </c>
      <c r="AA209" s="446">
        <f t="shared" si="82"/>
        <v>604866.45735396713</v>
      </c>
      <c r="AB209" s="446">
        <f t="shared" si="82"/>
        <v>613936.23332545883</v>
      </c>
      <c r="AC209" s="446">
        <f t="shared" si="82"/>
        <v>624026.1662475121</v>
      </c>
      <c r="AD209" s="358"/>
      <c r="AE209"/>
      <c r="AF209"/>
      <c r="AG209"/>
      <c r="AH209"/>
      <c r="AI209"/>
      <c r="AJ209"/>
      <c r="AK209"/>
      <c r="AL209"/>
      <c r="AM209"/>
      <c r="AN209"/>
      <c r="AO209"/>
      <c r="AP209"/>
      <c r="AQ209"/>
      <c r="AR209"/>
      <c r="AS209"/>
      <c r="AT209"/>
      <c r="AU209"/>
      <c r="AV209"/>
      <c r="AW209"/>
      <c r="AX209"/>
      <c r="AY209"/>
      <c r="AZ209"/>
      <c r="BA209"/>
    </row>
    <row r="210" spans="1:53" s="76" customFormat="1" ht="15.75">
      <c r="A210" s="25"/>
      <c r="B210" s="25"/>
      <c r="C210" s="426"/>
      <c r="D210" s="441"/>
      <c r="E210" s="25"/>
      <c r="F210" s="437">
        <f>SUM(F203:F209)</f>
        <v>0</v>
      </c>
      <c r="G210" s="437">
        <f t="shared" ref="G210:AC210" si="83">SUM(G203:G209)</f>
        <v>437457.15910137491</v>
      </c>
      <c r="H210" s="437">
        <f t="shared" si="83"/>
        <v>921387.57693506777</v>
      </c>
      <c r="I210" s="437">
        <f t="shared" si="83"/>
        <v>929431.36468190653</v>
      </c>
      <c r="J210" s="437">
        <f t="shared" si="83"/>
        <v>937740.33769737766</v>
      </c>
      <c r="K210" s="437">
        <f t="shared" si="83"/>
        <v>946126.0917625369</v>
      </c>
      <c r="L210" s="437">
        <f t="shared" si="83"/>
        <v>954652.50240178453</v>
      </c>
      <c r="M210" s="437">
        <f t="shared" si="83"/>
        <v>963384.73306624033</v>
      </c>
      <c r="N210" s="437">
        <f t="shared" si="83"/>
        <v>972349.67829053465</v>
      </c>
      <c r="O210" s="437">
        <f t="shared" si="83"/>
        <v>976051.44390792074</v>
      </c>
      <c r="P210" s="437">
        <f t="shared" si="83"/>
        <v>982045.41950793262</v>
      </c>
      <c r="Q210" s="437">
        <f t="shared" si="83"/>
        <v>988403.67697598459</v>
      </c>
      <c r="R210" s="437">
        <f t="shared" si="83"/>
        <v>995174.98815238534</v>
      </c>
      <c r="S210" s="437">
        <f t="shared" si="83"/>
        <v>1002414.8094405308</v>
      </c>
      <c r="T210" s="437">
        <f t="shared" si="83"/>
        <v>1010186.2005329269</v>
      </c>
      <c r="U210" s="437">
        <f t="shared" si="83"/>
        <v>1018560.8694975663</v>
      </c>
      <c r="V210" s="437">
        <f t="shared" si="83"/>
        <v>1027620.3616138304</v>
      </c>
      <c r="W210" s="437">
        <f t="shared" si="83"/>
        <v>1037457.4117415028</v>
      </c>
      <c r="X210" s="437">
        <f t="shared" si="83"/>
        <v>1048177.4827308091</v>
      </c>
      <c r="Y210" s="437">
        <f t="shared" si="83"/>
        <v>1059900.5154811305</v>
      </c>
      <c r="Z210" s="437">
        <f t="shared" si="83"/>
        <v>1073272.1205987451</v>
      </c>
      <c r="AA210" s="437">
        <f t="shared" si="83"/>
        <v>1087948.1385976989</v>
      </c>
      <c r="AB210" s="437">
        <f t="shared" si="83"/>
        <v>1104106.468614256</v>
      </c>
      <c r="AC210" s="437">
        <f t="shared" si="83"/>
        <v>1121949.5144569012</v>
      </c>
      <c r="AD210" s="358"/>
      <c r="AE210"/>
      <c r="AF210"/>
      <c r="AG210"/>
      <c r="AH210"/>
      <c r="AI210"/>
      <c r="AJ210"/>
      <c r="AK210"/>
      <c r="AL210"/>
      <c r="AM210"/>
      <c r="AN210"/>
      <c r="AO210"/>
      <c r="AP210"/>
      <c r="AQ210"/>
      <c r="AR210"/>
      <c r="AS210"/>
      <c r="AT210"/>
      <c r="AU210"/>
      <c r="AV210"/>
      <c r="AW210"/>
      <c r="AX210"/>
      <c r="AY210"/>
      <c r="AZ210"/>
      <c r="BA210"/>
    </row>
    <row r="211" spans="1:53" s="76" customFormat="1" ht="15.75">
      <c r="A211" s="25"/>
      <c r="B211" s="25"/>
      <c r="C211" s="425" t="s">
        <v>184</v>
      </c>
      <c r="D211" s="444"/>
      <c r="E211" s="25"/>
      <c r="F211" s="25"/>
      <c r="G211" s="25"/>
      <c r="H211" s="25"/>
      <c r="I211" s="25"/>
      <c r="J211" s="25"/>
      <c r="K211" s="25"/>
      <c r="L211" s="25"/>
      <c r="M211" s="25"/>
      <c r="N211" s="25"/>
      <c r="O211" s="25"/>
      <c r="P211" s="25"/>
      <c r="Q211" s="25"/>
      <c r="R211" s="25"/>
      <c r="S211" s="25"/>
      <c r="T211" s="25"/>
      <c r="U211" s="25"/>
      <c r="V211" s="25"/>
      <c r="W211" s="25"/>
      <c r="X211" s="25"/>
      <c r="Y211" s="25"/>
      <c r="Z211" s="25"/>
      <c r="AA211" s="25"/>
      <c r="AB211" s="25"/>
      <c r="AC211" s="25"/>
      <c r="AD211" s="358"/>
      <c r="AE211"/>
      <c r="AF211"/>
      <c r="AG211"/>
      <c r="AH211"/>
      <c r="AI211"/>
      <c r="AJ211"/>
      <c r="AK211"/>
      <c r="AL211"/>
      <c r="AM211"/>
      <c r="AN211"/>
      <c r="AO211"/>
      <c r="AP211"/>
      <c r="AQ211"/>
      <c r="AR211"/>
      <c r="AS211"/>
      <c r="AT211"/>
      <c r="AU211"/>
      <c r="AV211"/>
      <c r="AW211"/>
      <c r="AX211"/>
      <c r="AY211"/>
      <c r="AZ211"/>
      <c r="BA211"/>
    </row>
    <row r="212" spans="1:53" s="76" customFormat="1" ht="15.75">
      <c r="A212" s="25"/>
      <c r="B212" s="25"/>
      <c r="C212" s="425" t="s">
        <v>185</v>
      </c>
      <c r="D212" s="443">
        <f>IRR(F212:AC212)</f>
        <v>0.23271452988636221</v>
      </c>
      <c r="E212" s="25"/>
      <c r="F212" s="439">
        <f>F201+F210</f>
        <v>0</v>
      </c>
      <c r="G212" s="439">
        <f t="shared" ref="G212:AC212" si="84">G201+G210</f>
        <v>-1441326.260625446</v>
      </c>
      <c r="H212" s="439">
        <f t="shared" si="84"/>
        <v>-1635565.9902352346</v>
      </c>
      <c r="I212" s="439">
        <f t="shared" si="84"/>
        <v>805126.46648827463</v>
      </c>
      <c r="J212" s="439">
        <f t="shared" si="84"/>
        <v>808379.19953762414</v>
      </c>
      <c r="K212" s="439">
        <f t="shared" si="84"/>
        <v>811150.09700249578</v>
      </c>
      <c r="L212" s="439">
        <f t="shared" si="84"/>
        <v>813426.61565173604</v>
      </c>
      <c r="M212" s="439">
        <f t="shared" si="84"/>
        <v>815187.04609515099</v>
      </c>
      <c r="N212" s="439">
        <f t="shared" si="84"/>
        <v>816359.52582136565</v>
      </c>
      <c r="O212" s="439">
        <f t="shared" si="84"/>
        <v>812006.16031761863</v>
      </c>
      <c r="P212" s="439">
        <f t="shared" si="84"/>
        <v>808884.44737270637</v>
      </c>
      <c r="Q212" s="439">
        <f t="shared" si="84"/>
        <v>804921.37461646902</v>
      </c>
      <c r="R212" s="439">
        <f t="shared" si="84"/>
        <v>800000.78210747754</v>
      </c>
      <c r="S212" s="439">
        <f t="shared" si="84"/>
        <v>793990.63179964945</v>
      </c>
      <c r="T212" s="439">
        <f t="shared" si="84"/>
        <v>786740.83969532303</v>
      </c>
      <c r="U212" s="439">
        <f t="shared" si="84"/>
        <v>778080.81211550802</v>
      </c>
      <c r="V212" s="439">
        <f t="shared" si="84"/>
        <v>767816.64571361686</v>
      </c>
      <c r="W212" s="439">
        <f t="shared" si="84"/>
        <v>755727.94535143033</v>
      </c>
      <c r="X212" s="439">
        <f t="shared" si="84"/>
        <v>741564.20769744518</v>
      </c>
      <c r="Y212" s="439">
        <f t="shared" si="84"/>
        <v>725040.71129565302</v>
      </c>
      <c r="Z212" s="439">
        <f t="shared" si="84"/>
        <v>706343.04658672516</v>
      </c>
      <c r="AA212" s="439">
        <f t="shared" si="84"/>
        <v>684604.10316044546</v>
      </c>
      <c r="AB212" s="439">
        <f t="shared" si="84"/>
        <v>659407.28954237746</v>
      </c>
      <c r="AC212" s="439">
        <f t="shared" si="84"/>
        <v>630279.19261476095</v>
      </c>
      <c r="AD212" s="358"/>
      <c r="AE212"/>
      <c r="AF212"/>
      <c r="AG212"/>
      <c r="AH212"/>
      <c r="AI212"/>
      <c r="AJ212"/>
      <c r="AK212"/>
      <c r="AL212"/>
      <c r="AM212"/>
      <c r="AN212"/>
      <c r="AO212"/>
      <c r="AP212"/>
      <c r="AQ212"/>
      <c r="AR212"/>
      <c r="AS212"/>
      <c r="AT212"/>
      <c r="AU212"/>
      <c r="AV212"/>
      <c r="AW212"/>
      <c r="AX212"/>
      <c r="AY212"/>
      <c r="AZ212"/>
      <c r="BA212"/>
    </row>
    <row r="213" spans="1:53" s="76" customFormat="1" ht="15.75">
      <c r="A213" s="25"/>
      <c r="B213" s="25"/>
      <c r="C213" s="425" t="s">
        <v>186</v>
      </c>
      <c r="D213" s="444">
        <f>SUM(F210:AC210)/-SUM(F201:AC201)</f>
        <v>2.3666336172671558</v>
      </c>
      <c r="E213" s="25"/>
      <c r="F213" s="431">
        <f t="shared" ref="F213:AC213" si="85">F212-F186</f>
        <v>0</v>
      </c>
      <c r="G213" s="431">
        <f t="shared" si="85"/>
        <v>0</v>
      </c>
      <c r="H213" s="431">
        <f t="shared" si="85"/>
        <v>0</v>
      </c>
      <c r="I213" s="431">
        <f t="shared" si="85"/>
        <v>0</v>
      </c>
      <c r="J213" s="431">
        <f t="shared" si="85"/>
        <v>0</v>
      </c>
      <c r="K213" s="431">
        <f t="shared" si="85"/>
        <v>0</v>
      </c>
      <c r="L213" s="431">
        <f t="shared" si="85"/>
        <v>0</v>
      </c>
      <c r="M213" s="431">
        <f t="shared" si="85"/>
        <v>0</v>
      </c>
      <c r="N213" s="431">
        <f t="shared" si="85"/>
        <v>0</v>
      </c>
      <c r="O213" s="431">
        <f t="shared" si="85"/>
        <v>0</v>
      </c>
      <c r="P213" s="431">
        <f t="shared" si="85"/>
        <v>0</v>
      </c>
      <c r="Q213" s="431">
        <f t="shared" si="85"/>
        <v>0</v>
      </c>
      <c r="R213" s="431">
        <f t="shared" si="85"/>
        <v>0</v>
      </c>
      <c r="S213" s="431">
        <f t="shared" si="85"/>
        <v>0</v>
      </c>
      <c r="T213" s="431">
        <f t="shared" si="85"/>
        <v>0</v>
      </c>
      <c r="U213" s="431">
        <f t="shared" si="85"/>
        <v>0</v>
      </c>
      <c r="V213" s="431">
        <f t="shared" si="85"/>
        <v>0</v>
      </c>
      <c r="W213" s="431">
        <f t="shared" si="85"/>
        <v>0</v>
      </c>
      <c r="X213" s="431">
        <f t="shared" si="85"/>
        <v>0</v>
      </c>
      <c r="Y213" s="431">
        <f t="shared" si="85"/>
        <v>0</v>
      </c>
      <c r="Z213" s="431">
        <f t="shared" si="85"/>
        <v>0</v>
      </c>
      <c r="AA213" s="431">
        <f t="shared" si="85"/>
        <v>0</v>
      </c>
      <c r="AB213" s="431">
        <f t="shared" si="85"/>
        <v>0</v>
      </c>
      <c r="AC213" s="431">
        <f t="shared" si="85"/>
        <v>0</v>
      </c>
      <c r="AD213" s="358"/>
      <c r="AE213"/>
      <c r="AF213"/>
      <c r="AG213"/>
      <c r="AH213"/>
      <c r="AI213"/>
      <c r="AJ213"/>
      <c r="AK213"/>
      <c r="AL213"/>
      <c r="AM213"/>
      <c r="AN213"/>
      <c r="AO213"/>
      <c r="AP213"/>
      <c r="AQ213"/>
      <c r="AR213"/>
      <c r="AS213"/>
      <c r="AT213"/>
      <c r="AU213"/>
      <c r="AV213"/>
      <c r="AW213"/>
      <c r="AX213"/>
      <c r="AY213"/>
      <c r="AZ213"/>
      <c r="BA213"/>
    </row>
    <row r="214" spans="1:53" s="76" customFormat="1">
      <c r="A214" s="25"/>
      <c r="B214" s="25"/>
      <c r="C214" s="50"/>
      <c r="D214" s="40"/>
      <c r="E214" s="25"/>
      <c r="F214" s="39"/>
      <c r="H214"/>
      <c r="I214"/>
      <c r="J214"/>
      <c r="K214"/>
      <c r="L214"/>
      <c r="M214"/>
      <c r="N214"/>
      <c r="O214"/>
      <c r="P214"/>
      <c r="Q214"/>
      <c r="R214"/>
      <c r="S214"/>
      <c r="T214"/>
      <c r="U214"/>
      <c r="V214"/>
      <c r="W214"/>
      <c r="X214"/>
      <c r="Y214"/>
      <c r="Z214"/>
      <c r="AA214"/>
      <c r="AB214"/>
      <c r="AC214"/>
      <c r="AD214" s="358"/>
      <c r="AE214"/>
      <c r="AF214"/>
      <c r="AG214"/>
      <c r="AH214"/>
      <c r="AI214"/>
      <c r="AJ214"/>
      <c r="AK214"/>
      <c r="AL214"/>
      <c r="AM214"/>
      <c r="AN214"/>
      <c r="AO214"/>
      <c r="AP214"/>
      <c r="AQ214"/>
      <c r="AR214"/>
      <c r="AS214"/>
      <c r="AT214"/>
      <c r="AU214"/>
      <c r="AV214"/>
      <c r="AW214"/>
      <c r="AX214"/>
      <c r="AY214"/>
      <c r="AZ214"/>
      <c r="BA214"/>
    </row>
    <row r="215" spans="1:53" s="76" customFormat="1">
      <c r="A215" s="25"/>
      <c r="B215" s="25"/>
      <c r="C215" s="50"/>
      <c r="D215" s="25"/>
      <c r="E215" s="25"/>
      <c r="F215" s="39"/>
      <c r="H215"/>
      <c r="I215"/>
      <c r="J215"/>
      <c r="K215"/>
      <c r="L215"/>
      <c r="M215"/>
      <c r="N215"/>
      <c r="O215"/>
      <c r="P215"/>
      <c r="Q215"/>
      <c r="R215"/>
      <c r="S215"/>
      <c r="T215"/>
      <c r="U215"/>
      <c r="V215"/>
      <c r="W215"/>
      <c r="X215"/>
      <c r="Y215"/>
      <c r="Z215"/>
      <c r="AA215"/>
      <c r="AB215"/>
      <c r="AC215"/>
      <c r="AD215" s="358"/>
      <c r="AE215"/>
      <c r="AF215"/>
      <c r="AG215"/>
      <c r="AH215"/>
      <c r="AI215"/>
      <c r="AJ215"/>
      <c r="AK215"/>
      <c r="AL215"/>
      <c r="AM215"/>
      <c r="AN215"/>
      <c r="AO215"/>
      <c r="AP215"/>
      <c r="AQ215"/>
      <c r="AR215"/>
      <c r="AS215"/>
      <c r="AT215"/>
      <c r="AU215"/>
      <c r="AV215"/>
      <c r="AW215"/>
      <c r="AX215"/>
      <c r="AY215"/>
      <c r="AZ215"/>
      <c r="BA215"/>
    </row>
    <row r="216" spans="1:53" s="76" customFormat="1" ht="14.25">
      <c r="A216" s="25"/>
      <c r="B216" s="25"/>
      <c r="C216" s="436" t="s">
        <v>602</v>
      </c>
      <c r="D216" s="39"/>
      <c r="E216" s="39"/>
      <c r="F216" s="39"/>
      <c r="H216"/>
      <c r="I216"/>
      <c r="J216"/>
      <c r="K216"/>
      <c r="L216"/>
      <c r="M216"/>
      <c r="N216"/>
      <c r="O216"/>
      <c r="P216"/>
      <c r="Q216"/>
      <c r="R216"/>
      <c r="S216"/>
      <c r="T216"/>
      <c r="U216"/>
      <c r="V216"/>
      <c r="W216"/>
      <c r="X216"/>
      <c r="Y216"/>
      <c r="Z216"/>
      <c r="AA216"/>
      <c r="AB216"/>
      <c r="AC216"/>
      <c r="AD216" s="358"/>
      <c r="AE216"/>
      <c r="AF216"/>
      <c r="AG216"/>
      <c r="AH216"/>
      <c r="AI216"/>
      <c r="AJ216"/>
      <c r="AK216"/>
      <c r="AL216"/>
      <c r="AM216"/>
      <c r="AN216"/>
      <c r="AO216"/>
      <c r="AP216"/>
      <c r="AQ216"/>
      <c r="AR216"/>
      <c r="AS216"/>
      <c r="AT216"/>
      <c r="AU216"/>
      <c r="AV216"/>
      <c r="AW216"/>
      <c r="AX216"/>
      <c r="AY216"/>
      <c r="AZ216"/>
      <c r="BA216"/>
    </row>
    <row r="217" spans="1:53" s="76" customFormat="1" ht="15.75">
      <c r="A217" s="25"/>
      <c r="B217" s="25"/>
      <c r="C217" s="425" t="s">
        <v>1</v>
      </c>
      <c r="D217" s="442">
        <f>SUM(D218:D221)</f>
        <v>7295.0522185898262</v>
      </c>
      <c r="E217" s="39"/>
      <c r="F217" s="446"/>
      <c r="G217" s="446"/>
      <c r="H217" s="446"/>
      <c r="I217" s="446"/>
      <c r="J217" s="446"/>
      <c r="K217" s="446"/>
      <c r="L217" s="446"/>
      <c r="M217" s="446"/>
      <c r="N217" s="446"/>
      <c r="O217" s="446"/>
      <c r="P217" s="446"/>
      <c r="Q217" s="446"/>
      <c r="R217" s="446"/>
      <c r="S217" s="446"/>
      <c r="T217" s="446"/>
      <c r="U217" s="446"/>
      <c r="V217" s="446"/>
      <c r="W217" s="446"/>
      <c r="X217" s="446"/>
      <c r="Y217" s="446"/>
      <c r="Z217" s="446"/>
      <c r="AA217" s="446"/>
      <c r="AB217" s="446"/>
      <c r="AC217" s="446"/>
      <c r="AD217" s="358"/>
      <c r="AE217"/>
      <c r="AF217"/>
      <c r="AG217"/>
      <c r="AH217"/>
      <c r="AI217"/>
      <c r="AJ217"/>
      <c r="AK217"/>
      <c r="AL217"/>
      <c r="AM217"/>
      <c r="AN217"/>
      <c r="AO217"/>
      <c r="AP217"/>
      <c r="AQ217"/>
      <c r="AR217"/>
      <c r="AS217"/>
      <c r="AT217"/>
      <c r="AU217"/>
      <c r="AV217"/>
      <c r="AW217"/>
      <c r="AX217"/>
      <c r="AY217"/>
      <c r="AZ217"/>
      <c r="BA217"/>
    </row>
    <row r="218" spans="1:53" s="76" customFormat="1" ht="15.75">
      <c r="A218" s="25"/>
      <c r="B218" s="25"/>
      <c r="C218" s="427" t="s">
        <v>199</v>
      </c>
      <c r="D218" s="440">
        <f>-SUM(F218:AC218)/1000</f>
        <v>3864.7027981828946</v>
      </c>
      <c r="E218" s="39"/>
      <c r="F218" s="446">
        <f t="shared" ref="F218:AC218" si="86">F197*F$187</f>
        <v>0</v>
      </c>
      <c r="G218" s="446">
        <f t="shared" si="86"/>
        <v>-1634307.1778678482</v>
      </c>
      <c r="H218" s="446">
        <f t="shared" si="86"/>
        <v>-2230395.6203150465</v>
      </c>
      <c r="I218" s="446">
        <f t="shared" si="86"/>
        <v>0</v>
      </c>
      <c r="J218" s="446">
        <f t="shared" si="86"/>
        <v>0</v>
      </c>
      <c r="K218" s="446">
        <f t="shared" si="86"/>
        <v>0</v>
      </c>
      <c r="L218" s="446">
        <f t="shared" si="86"/>
        <v>0</v>
      </c>
      <c r="M218" s="446">
        <f t="shared" si="86"/>
        <v>0</v>
      </c>
      <c r="N218" s="446">
        <f t="shared" si="86"/>
        <v>0</v>
      </c>
      <c r="O218" s="446">
        <f t="shared" si="86"/>
        <v>0</v>
      </c>
      <c r="P218" s="446">
        <f t="shared" si="86"/>
        <v>0</v>
      </c>
      <c r="Q218" s="446">
        <f t="shared" si="86"/>
        <v>0</v>
      </c>
      <c r="R218" s="446">
        <f t="shared" si="86"/>
        <v>0</v>
      </c>
      <c r="S218" s="446">
        <f t="shared" si="86"/>
        <v>0</v>
      </c>
      <c r="T218" s="446">
        <f t="shared" si="86"/>
        <v>0</v>
      </c>
      <c r="U218" s="446">
        <f t="shared" si="86"/>
        <v>0</v>
      </c>
      <c r="V218" s="446">
        <f t="shared" si="86"/>
        <v>0</v>
      </c>
      <c r="W218" s="446">
        <f t="shared" si="86"/>
        <v>0</v>
      </c>
      <c r="X218" s="446">
        <f t="shared" si="86"/>
        <v>0</v>
      </c>
      <c r="Y218" s="446">
        <f t="shared" si="86"/>
        <v>0</v>
      </c>
      <c r="Z218" s="446">
        <f t="shared" si="86"/>
        <v>0</v>
      </c>
      <c r="AA218" s="446">
        <f t="shared" si="86"/>
        <v>0</v>
      </c>
      <c r="AB218" s="446">
        <f t="shared" si="86"/>
        <v>0</v>
      </c>
      <c r="AC218" s="446">
        <f t="shared" si="86"/>
        <v>0</v>
      </c>
      <c r="AD218" s="358"/>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27" t="s">
        <v>200</v>
      </c>
      <c r="D219" s="440">
        <f>-SUM(F219:AC219)/1000</f>
        <v>0</v>
      </c>
      <c r="E219" s="25"/>
      <c r="F219" s="446">
        <f t="shared" ref="F219:AC219" si="87">F198*F$187</f>
        <v>0</v>
      </c>
      <c r="G219" s="446">
        <f t="shared" si="87"/>
        <v>0</v>
      </c>
      <c r="H219" s="446">
        <f t="shared" si="87"/>
        <v>0</v>
      </c>
      <c r="I219" s="446">
        <f t="shared" si="87"/>
        <v>0</v>
      </c>
      <c r="J219" s="446">
        <f t="shared" si="87"/>
        <v>0</v>
      </c>
      <c r="K219" s="446">
        <f t="shared" si="87"/>
        <v>0</v>
      </c>
      <c r="L219" s="446">
        <f t="shared" si="87"/>
        <v>0</v>
      </c>
      <c r="M219" s="446">
        <f t="shared" si="87"/>
        <v>0</v>
      </c>
      <c r="N219" s="446">
        <f t="shared" si="87"/>
        <v>0</v>
      </c>
      <c r="O219" s="446">
        <f t="shared" si="87"/>
        <v>0</v>
      </c>
      <c r="P219" s="446">
        <f t="shared" si="87"/>
        <v>0</v>
      </c>
      <c r="Q219" s="446">
        <f t="shared" si="87"/>
        <v>0</v>
      </c>
      <c r="R219" s="446">
        <f t="shared" si="87"/>
        <v>0</v>
      </c>
      <c r="S219" s="446">
        <f t="shared" si="87"/>
        <v>0</v>
      </c>
      <c r="T219" s="446">
        <f t="shared" si="87"/>
        <v>0</v>
      </c>
      <c r="U219" s="446">
        <f t="shared" si="87"/>
        <v>0</v>
      </c>
      <c r="V219" s="446">
        <f t="shared" si="87"/>
        <v>0</v>
      </c>
      <c r="W219" s="446">
        <f t="shared" si="87"/>
        <v>0</v>
      </c>
      <c r="X219" s="446">
        <f t="shared" si="87"/>
        <v>0</v>
      </c>
      <c r="Y219" s="446">
        <f t="shared" si="87"/>
        <v>0</v>
      </c>
      <c r="Z219" s="446">
        <f t="shared" si="87"/>
        <v>0</v>
      </c>
      <c r="AA219" s="446">
        <f t="shared" si="87"/>
        <v>0</v>
      </c>
      <c r="AB219" s="446">
        <f t="shared" si="87"/>
        <v>0</v>
      </c>
      <c r="AC219" s="446">
        <f t="shared" si="87"/>
        <v>0</v>
      </c>
      <c r="AD219" s="358"/>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28" t="s">
        <v>563</v>
      </c>
      <c r="D220" s="440">
        <f>-SUM(F220:AC220)/1000</f>
        <v>82.140825066035376</v>
      </c>
      <c r="E220" s="25"/>
      <c r="F220" s="446">
        <f t="shared" ref="F220:AC220" si="88">F199*F$187</f>
        <v>0</v>
      </c>
      <c r="G220" s="446">
        <f t="shared" si="88"/>
        <v>-82140.825066035381</v>
      </c>
      <c r="H220" s="446">
        <f t="shared" si="88"/>
        <v>0</v>
      </c>
      <c r="I220" s="446">
        <f t="shared" si="88"/>
        <v>0</v>
      </c>
      <c r="J220" s="446">
        <f t="shared" si="88"/>
        <v>0</v>
      </c>
      <c r="K220" s="446">
        <f t="shared" si="88"/>
        <v>0</v>
      </c>
      <c r="L220" s="446">
        <f t="shared" si="88"/>
        <v>0</v>
      </c>
      <c r="M220" s="446">
        <f t="shared" si="88"/>
        <v>0</v>
      </c>
      <c r="N220" s="446">
        <f t="shared" si="88"/>
        <v>0</v>
      </c>
      <c r="O220" s="446">
        <f t="shared" si="88"/>
        <v>0</v>
      </c>
      <c r="P220" s="446">
        <f t="shared" si="88"/>
        <v>0</v>
      </c>
      <c r="Q220" s="446">
        <f t="shared" si="88"/>
        <v>0</v>
      </c>
      <c r="R220" s="446">
        <f t="shared" si="88"/>
        <v>0</v>
      </c>
      <c r="S220" s="446">
        <f t="shared" si="88"/>
        <v>0</v>
      </c>
      <c r="T220" s="446">
        <f t="shared" si="88"/>
        <v>0</v>
      </c>
      <c r="U220" s="446">
        <f t="shared" si="88"/>
        <v>0</v>
      </c>
      <c r="V220" s="446">
        <f t="shared" si="88"/>
        <v>0</v>
      </c>
      <c r="W220" s="446">
        <f t="shared" si="88"/>
        <v>0</v>
      </c>
      <c r="X220" s="446">
        <f t="shared" si="88"/>
        <v>0</v>
      </c>
      <c r="Y220" s="446">
        <f t="shared" si="88"/>
        <v>0</v>
      </c>
      <c r="Z220" s="446">
        <f t="shared" si="88"/>
        <v>0</v>
      </c>
      <c r="AA220" s="446">
        <f t="shared" si="88"/>
        <v>0</v>
      </c>
      <c r="AB220" s="446">
        <f t="shared" si="88"/>
        <v>0</v>
      </c>
      <c r="AC220" s="446">
        <f t="shared" si="88"/>
        <v>0</v>
      </c>
      <c r="AD220" s="358"/>
      <c r="AE220"/>
      <c r="AF220"/>
      <c r="AG220"/>
      <c r="AH220"/>
      <c r="AI220"/>
      <c r="AJ220"/>
      <c r="AK220"/>
      <c r="AL220"/>
      <c r="AM220"/>
      <c r="AN220"/>
      <c r="AO220"/>
      <c r="AP220"/>
      <c r="AQ220"/>
      <c r="AR220"/>
      <c r="AS220"/>
      <c r="AT220"/>
      <c r="AU220"/>
      <c r="AV220"/>
      <c r="AW220"/>
      <c r="AX220"/>
      <c r="AY220"/>
      <c r="AZ220"/>
      <c r="BA220"/>
    </row>
    <row r="221" spans="1:53" s="76" customFormat="1" ht="15.75">
      <c r="A221" s="25"/>
      <c r="B221" s="25"/>
      <c r="C221" s="427" t="s">
        <v>201</v>
      </c>
      <c r="D221" s="440">
        <f>-SUM(F221:AC221)/1000</f>
        <v>3348.208595340896</v>
      </c>
      <c r="E221" s="25"/>
      <c r="F221" s="446">
        <f t="shared" ref="F221:AC221" si="89">F200*F$187</f>
        <v>0</v>
      </c>
      <c r="G221" s="446">
        <f t="shared" si="89"/>
        <v>-54485.56264894324</v>
      </c>
      <c r="H221" s="446">
        <f t="shared" si="89"/>
        <v>-109579.11003416426</v>
      </c>
      <c r="I221" s="446">
        <f t="shared" si="89"/>
        <v>-110443.29203752022</v>
      </c>
      <c r="J221" s="446">
        <f t="shared" si="89"/>
        <v>-111588.05413453684</v>
      </c>
      <c r="K221" s="446">
        <f t="shared" si="89"/>
        <v>-113040.27064174983</v>
      </c>
      <c r="L221" s="446">
        <f t="shared" si="89"/>
        <v>-114829.56969840218</v>
      </c>
      <c r="M221" s="446">
        <f t="shared" si="89"/>
        <v>-116988.62259894391</v>
      </c>
      <c r="N221" s="446">
        <f t="shared" si="89"/>
        <v>-119553.46293320462</v>
      </c>
      <c r="O221" s="446">
        <f t="shared" si="89"/>
        <v>-122065.09728705141</v>
      </c>
      <c r="P221" s="446">
        <f t="shared" si="89"/>
        <v>-125095.17054701278</v>
      </c>
      <c r="Q221" s="446">
        <f t="shared" si="89"/>
        <v>-128690.79524644786</v>
      </c>
      <c r="R221" s="446">
        <f t="shared" si="89"/>
        <v>-132904.13713838445</v>
      </c>
      <c r="S221" s="446">
        <f t="shared" si="89"/>
        <v>-137792.93500148956</v>
      </c>
      <c r="T221" s="446">
        <f t="shared" si="89"/>
        <v>-143421.0744439867</v>
      </c>
      <c r="U221" s="446">
        <f t="shared" si="89"/>
        <v>-149859.22130225462</v>
      </c>
      <c r="V221" s="446">
        <f t="shared" si="89"/>
        <v>-157185.52081121181</v>
      </c>
      <c r="W221" s="446">
        <f t="shared" si="89"/>
        <v>-165486.36936414125</v>
      </c>
      <c r="X221" s="446">
        <f t="shared" si="89"/>
        <v>-174857.26638656901</v>
      </c>
      <c r="Y221" s="446">
        <f t="shared" si="89"/>
        <v>-185403.75462908254</v>
      </c>
      <c r="Z221" s="446">
        <f t="shared" si="89"/>
        <v>-197242.45804514422</v>
      </c>
      <c r="AA221" s="446">
        <f t="shared" si="89"/>
        <v>-210502.22737042225</v>
      </c>
      <c r="AB221" s="446">
        <f t="shared" si="89"/>
        <v>-225325.40456917984</v>
      </c>
      <c r="AC221" s="446">
        <f t="shared" si="89"/>
        <v>-241869.218471053</v>
      </c>
      <c r="AD221" s="358"/>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26"/>
      <c r="D222" s="441"/>
      <c r="E222" s="25"/>
      <c r="F222" s="438">
        <f>SUM(F218:F221)</f>
        <v>0</v>
      </c>
      <c r="G222" s="438">
        <f t="shared" ref="G222:AC222" si="90">SUM(G218:G221)</f>
        <v>-1770933.5655828267</v>
      </c>
      <c r="H222" s="438">
        <f t="shared" si="90"/>
        <v>-2339974.7303492106</v>
      </c>
      <c r="I222" s="438">
        <f t="shared" si="90"/>
        <v>-110443.29203752022</v>
      </c>
      <c r="J222" s="438">
        <f t="shared" si="90"/>
        <v>-111588.05413453684</v>
      </c>
      <c r="K222" s="438">
        <f t="shared" si="90"/>
        <v>-113040.27064174983</v>
      </c>
      <c r="L222" s="438">
        <f t="shared" si="90"/>
        <v>-114829.56969840218</v>
      </c>
      <c r="M222" s="438">
        <f t="shared" si="90"/>
        <v>-116988.62259894391</v>
      </c>
      <c r="N222" s="438">
        <f t="shared" si="90"/>
        <v>-119553.46293320462</v>
      </c>
      <c r="O222" s="438">
        <f t="shared" si="90"/>
        <v>-122065.09728705141</v>
      </c>
      <c r="P222" s="438">
        <f t="shared" si="90"/>
        <v>-125095.17054701278</v>
      </c>
      <c r="Q222" s="438">
        <f t="shared" si="90"/>
        <v>-128690.79524644786</v>
      </c>
      <c r="R222" s="438">
        <f t="shared" si="90"/>
        <v>-132904.13713838445</v>
      </c>
      <c r="S222" s="438">
        <f t="shared" si="90"/>
        <v>-137792.93500148956</v>
      </c>
      <c r="T222" s="438">
        <f t="shared" si="90"/>
        <v>-143421.0744439867</v>
      </c>
      <c r="U222" s="438">
        <f t="shared" si="90"/>
        <v>-149859.22130225462</v>
      </c>
      <c r="V222" s="438">
        <f t="shared" si="90"/>
        <v>-157185.52081121181</v>
      </c>
      <c r="W222" s="438">
        <f t="shared" si="90"/>
        <v>-165486.36936414125</v>
      </c>
      <c r="X222" s="438">
        <f t="shared" si="90"/>
        <v>-174857.26638656901</v>
      </c>
      <c r="Y222" s="438">
        <f t="shared" si="90"/>
        <v>-185403.75462908254</v>
      </c>
      <c r="Z222" s="438">
        <f t="shared" si="90"/>
        <v>-197242.45804514422</v>
      </c>
      <c r="AA222" s="438">
        <f t="shared" si="90"/>
        <v>-210502.22737042225</v>
      </c>
      <c r="AB222" s="438">
        <f t="shared" si="90"/>
        <v>-225325.40456917984</v>
      </c>
      <c r="AC222" s="438">
        <f t="shared" si="90"/>
        <v>-241869.218471053</v>
      </c>
      <c r="AD222" s="358"/>
      <c r="AE222"/>
      <c r="AF222"/>
      <c r="AG222"/>
      <c r="AH222"/>
      <c r="AI222"/>
      <c r="AJ222"/>
      <c r="AK222"/>
      <c r="AL222"/>
      <c r="AM222"/>
      <c r="AN222"/>
      <c r="AO222"/>
      <c r="AP222"/>
      <c r="AQ222"/>
      <c r="AR222"/>
      <c r="AS222"/>
      <c r="AT222"/>
      <c r="AU222"/>
      <c r="AV222"/>
      <c r="AW222"/>
      <c r="AX222"/>
      <c r="AY222"/>
      <c r="AZ222"/>
      <c r="BA222"/>
    </row>
    <row r="223" spans="1:53" s="76" customFormat="1" ht="15.75">
      <c r="A223" s="25"/>
      <c r="B223" s="25"/>
      <c r="C223" s="425" t="s">
        <v>0</v>
      </c>
      <c r="D223" s="442">
        <f>SUM(D224:D230)</f>
        <v>15388.857525051855</v>
      </c>
      <c r="E223" s="25"/>
      <c r="F223" s="430"/>
      <c r="G223" s="430"/>
      <c r="H223" s="430"/>
      <c r="I223" s="430"/>
      <c r="J223" s="430"/>
      <c r="K223" s="430"/>
      <c r="L223" s="430"/>
      <c r="M223" s="430"/>
      <c r="N223" s="430"/>
      <c r="O223" s="430"/>
      <c r="P223" s="430"/>
      <c r="Q223" s="430"/>
      <c r="R223" s="430"/>
      <c r="S223" s="430"/>
      <c r="T223" s="430"/>
      <c r="U223" s="430"/>
      <c r="V223" s="430"/>
      <c r="W223" s="430"/>
      <c r="X223" s="430"/>
      <c r="Y223" s="430"/>
      <c r="Z223" s="430"/>
      <c r="AA223" s="430"/>
      <c r="AB223" s="430"/>
      <c r="AC223" s="430"/>
      <c r="AD223" s="358"/>
      <c r="AE223"/>
      <c r="AF223"/>
      <c r="AG223"/>
      <c r="AH223"/>
      <c r="AI223"/>
      <c r="AJ223"/>
      <c r="AK223"/>
      <c r="AL223"/>
      <c r="AM223"/>
      <c r="AN223"/>
      <c r="AO223"/>
      <c r="AP223"/>
      <c r="AQ223"/>
      <c r="AR223"/>
      <c r="AS223"/>
      <c r="AT223"/>
      <c r="AU223"/>
      <c r="AV223"/>
      <c r="AW223"/>
      <c r="AX223"/>
      <c r="AY223"/>
      <c r="AZ223"/>
      <c r="BA223"/>
    </row>
    <row r="224" spans="1:53" s="76" customFormat="1" ht="15.75">
      <c r="A224" s="25"/>
      <c r="B224" s="25"/>
      <c r="C224" s="427" t="s">
        <v>599</v>
      </c>
      <c r="D224" s="440">
        <f t="shared" ref="D224:D230" si="91">SUM(F224:AC224)/1000</f>
        <v>161.89297569393042</v>
      </c>
      <c r="E224" s="25"/>
      <c r="F224" s="448">
        <f t="shared" ref="F224:AC224" si="92">F203*F$187</f>
        <v>0</v>
      </c>
      <c r="G224" s="448">
        <f t="shared" si="92"/>
        <v>1470.6312775377255</v>
      </c>
      <c r="H224" s="448">
        <f t="shared" si="92"/>
        <v>3476.6487627210431</v>
      </c>
      <c r="I224" s="448">
        <f t="shared" si="92"/>
        <v>3992.6842549757098</v>
      </c>
      <c r="J224" s="448">
        <f t="shared" si="92"/>
        <v>4489.5830782845851</v>
      </c>
      <c r="K224" s="448">
        <f t="shared" si="92"/>
        <v>4967.5624367531482</v>
      </c>
      <c r="L224" s="448">
        <f t="shared" si="92"/>
        <v>5426.8423079072281</v>
      </c>
      <c r="M224" s="448">
        <f t="shared" si="92"/>
        <v>5867.6451930401126</v>
      </c>
      <c r="N224" s="448">
        <f t="shared" si="92"/>
        <v>6290.1960172916142</v>
      </c>
      <c r="O224" s="448">
        <f t="shared" si="92"/>
        <v>6647.8144718069334</v>
      </c>
      <c r="P224" s="448">
        <f t="shared" si="92"/>
        <v>6983.0851096298884</v>
      </c>
      <c r="Q224" s="448">
        <f t="shared" si="92"/>
        <v>7296.6832528943924</v>
      </c>
      <c r="R224" s="448">
        <f t="shared" si="92"/>
        <v>7589.2634303605582</v>
      </c>
      <c r="S224" s="448">
        <f t="shared" si="92"/>
        <v>7861.4614846504755</v>
      </c>
      <c r="T224" s="448">
        <f t="shared" si="92"/>
        <v>8113.8969432386848</v>
      </c>
      <c r="U224" s="448">
        <f t="shared" si="92"/>
        <v>8347.1756977316218</v>
      </c>
      <c r="V224" s="448">
        <f t="shared" si="92"/>
        <v>8561.8930422265494</v>
      </c>
      <c r="W224" s="448">
        <f t="shared" si="92"/>
        <v>8758.6371286414869</v>
      </c>
      <c r="X224" s="448">
        <f t="shared" si="92"/>
        <v>8937.9929049589846</v>
      </c>
      <c r="Y224" s="448">
        <f t="shared" si="92"/>
        <v>9100.5466114532792</v>
      </c>
      <c r="Z224" s="448">
        <f t="shared" si="92"/>
        <v>9246.8909203139137</v>
      </c>
      <c r="AA224" s="448">
        <f t="shared" si="92"/>
        <v>9377.6308157902313</v>
      </c>
      <c r="AB224" s="448">
        <f t="shared" si="92"/>
        <v>9493.3903252412128</v>
      </c>
      <c r="AC224" s="448">
        <f t="shared" si="92"/>
        <v>9594.8202264810516</v>
      </c>
      <c r="AD224" s="358"/>
      <c r="AE224"/>
      <c r="AF224"/>
      <c r="AG224"/>
      <c r="AH224"/>
      <c r="AI224"/>
      <c r="AJ224"/>
      <c r="AK224"/>
      <c r="AL224"/>
      <c r="AM224"/>
      <c r="AN224"/>
      <c r="AO224"/>
      <c r="AP224"/>
      <c r="AQ224"/>
      <c r="AR224"/>
      <c r="AS224"/>
      <c r="AT224"/>
      <c r="AU224"/>
      <c r="AV224"/>
      <c r="AW224"/>
      <c r="AX224"/>
      <c r="AY224"/>
      <c r="AZ224"/>
      <c r="BA224"/>
    </row>
    <row r="225" spans="1:53" s="76" customFormat="1" ht="15.75">
      <c r="A225" s="25"/>
      <c r="B225" s="25"/>
      <c r="C225" s="427" t="s">
        <v>600</v>
      </c>
      <c r="D225" s="440">
        <f t="shared" si="91"/>
        <v>4581.1183112000135</v>
      </c>
      <c r="E225" s="25"/>
      <c r="F225" s="446">
        <f t="shared" ref="F225:AC225" si="93">F204*F$187</f>
        <v>0</v>
      </c>
      <c r="G225" s="446">
        <f t="shared" si="93"/>
        <v>127406.79547703837</v>
      </c>
      <c r="H225" s="446">
        <f t="shared" si="93"/>
        <v>250153.64157146725</v>
      </c>
      <c r="I225" s="446">
        <f t="shared" si="93"/>
        <v>245572.04875965285</v>
      </c>
      <c r="J225" s="446">
        <f t="shared" si="93"/>
        <v>241070.59346142123</v>
      </c>
      <c r="K225" s="446">
        <f t="shared" si="93"/>
        <v>236651.13444807616</v>
      </c>
      <c r="L225" s="446">
        <f t="shared" si="93"/>
        <v>232315.62799456503</v>
      </c>
      <c r="M225" s="446">
        <f t="shared" si="93"/>
        <v>228066.14900931509</v>
      </c>
      <c r="N225" s="446">
        <f t="shared" si="93"/>
        <v>223904.91379386646</v>
      </c>
      <c r="O225" s="446">
        <f t="shared" si="93"/>
        <v>218384.36073847048</v>
      </c>
      <c r="P225" s="446">
        <f t="shared" si="93"/>
        <v>213041.4713465306</v>
      </c>
      <c r="Q225" s="446">
        <f t="shared" si="93"/>
        <v>207875.35183589277</v>
      </c>
      <c r="R225" s="446">
        <f t="shared" si="93"/>
        <v>202885.50460446544</v>
      </c>
      <c r="S225" s="446">
        <f t="shared" si="93"/>
        <v>198071.85721895899</v>
      </c>
      <c r="T225" s="446">
        <f t="shared" si="93"/>
        <v>193434.79469905829</v>
      </c>
      <c r="U225" s="446">
        <f t="shared" si="93"/>
        <v>188975.1954321161</v>
      </c>
      <c r="V225" s="446">
        <f t="shared" si="93"/>
        <v>184694.47108833955</v>
      </c>
      <c r="W225" s="446">
        <f t="shared" si="93"/>
        <v>180594.6109449419</v>
      </c>
      <c r="X225" s="446">
        <f t="shared" si="93"/>
        <v>176678.23107021963</v>
      </c>
      <c r="Y225" s="446">
        <f t="shared" si="93"/>
        <v>172948.62886540691</v>
      </c>
      <c r="Z225" s="446">
        <f t="shared" si="93"/>
        <v>169409.84351391185</v>
      </c>
      <c r="AA225" s="446">
        <f t="shared" si="93"/>
        <v>166066.72294465278</v>
      </c>
      <c r="AB225" s="446">
        <f t="shared" si="93"/>
        <v>162924.99797925013</v>
      </c>
      <c r="AC225" s="446">
        <f t="shared" si="93"/>
        <v>159991.36440239596</v>
      </c>
      <c r="AD225" s="358"/>
      <c r="AE225"/>
      <c r="AF225"/>
      <c r="AG225"/>
      <c r="AH225"/>
      <c r="AI225"/>
      <c r="AJ225"/>
      <c r="AK225"/>
      <c r="AL225"/>
      <c r="AM225"/>
      <c r="AN225"/>
      <c r="AO225"/>
      <c r="AP225"/>
      <c r="AQ225"/>
      <c r="AR225"/>
      <c r="AS225"/>
      <c r="AT225"/>
      <c r="AU225"/>
      <c r="AV225"/>
      <c r="AW225"/>
      <c r="AX225"/>
      <c r="AY225"/>
      <c r="AZ225"/>
      <c r="BA225"/>
    </row>
    <row r="226" spans="1:53" s="76" customFormat="1" ht="15.75">
      <c r="A226" s="25"/>
      <c r="B226" s="25"/>
      <c r="C226" s="427" t="s">
        <v>202</v>
      </c>
      <c r="D226" s="440">
        <f t="shared" si="91"/>
        <v>120.6186122141775</v>
      </c>
      <c r="E226" s="25"/>
      <c r="F226" s="446">
        <f t="shared" ref="F226:AC226" si="94">F205*F$187</f>
        <v>0</v>
      </c>
      <c r="G226" s="446">
        <f t="shared" si="94"/>
        <v>701.63413163110954</v>
      </c>
      <c r="H226" s="446">
        <f t="shared" si="94"/>
        <v>1684.2632476838098</v>
      </c>
      <c r="I226" s="446">
        <f t="shared" si="94"/>
        <v>1968.4099781268203</v>
      </c>
      <c r="J226" s="446">
        <f t="shared" si="94"/>
        <v>2256.7903060696699</v>
      </c>
      <c r="K226" s="446">
        <f t="shared" si="94"/>
        <v>2550.592444690355</v>
      </c>
      <c r="L226" s="446">
        <f t="shared" si="94"/>
        <v>2851.1217753934748</v>
      </c>
      <c r="M226" s="446">
        <f t="shared" si="94"/>
        <v>3159.8128382640075</v>
      </c>
      <c r="N226" s="446">
        <f t="shared" si="94"/>
        <v>3478.2426300279021</v>
      </c>
      <c r="O226" s="446">
        <f t="shared" si="94"/>
        <v>3795.236154166163</v>
      </c>
      <c r="P226" s="446">
        <f t="shared" si="94"/>
        <v>4123.9337188051977</v>
      </c>
      <c r="Q226" s="446">
        <f t="shared" si="94"/>
        <v>4466.5889485463786</v>
      </c>
      <c r="R226" s="446">
        <f t="shared" si="94"/>
        <v>4825.6586477989695</v>
      </c>
      <c r="S226" s="446">
        <f t="shared" si="94"/>
        <v>5203.8253902580655</v>
      </c>
      <c r="T226" s="446">
        <f t="shared" si="94"/>
        <v>5604.0224740106141</v>
      </c>
      <c r="U226" s="446">
        <f t="shared" si="94"/>
        <v>6029.4614942961061</v>
      </c>
      <c r="V226" s="446">
        <f t="shared" si="94"/>
        <v>6483.6628127393997</v>
      </c>
      <c r="W226" s="446">
        <f t="shared" si="94"/>
        <v>6970.4892315210664</v>
      </c>
      <c r="X226" s="446">
        <f t="shared" si="94"/>
        <v>7494.1832137570254</v>
      </c>
      <c r="Y226" s="446">
        <f t="shared" si="94"/>
        <v>8059.4080276656814</v>
      </c>
      <c r="Z226" s="446">
        <f t="shared" si="94"/>
        <v>8671.2932322769429</v>
      </c>
      <c r="AA226" s="446">
        <f t="shared" si="94"/>
        <v>9335.4849669002488</v>
      </c>
      <c r="AB226" s="446">
        <f t="shared" si="94"/>
        <v>10058.20155577398</v>
      </c>
      <c r="AC226" s="446">
        <f t="shared" si="94"/>
        <v>10846.294993774512</v>
      </c>
      <c r="AD226" s="358"/>
      <c r="AE226"/>
      <c r="AF226"/>
      <c r="AG226"/>
      <c r="AH226"/>
      <c r="AI226"/>
      <c r="AJ226"/>
      <c r="AK226"/>
      <c r="AL226"/>
      <c r="AM226"/>
      <c r="AN226"/>
      <c r="AO226"/>
      <c r="AP226"/>
      <c r="AQ226"/>
      <c r="AR226"/>
      <c r="AS226"/>
      <c r="AT226"/>
      <c r="AU226"/>
      <c r="AV226"/>
      <c r="AW226"/>
      <c r="AX226"/>
      <c r="AY226"/>
      <c r="AZ226"/>
      <c r="BA226"/>
    </row>
    <row r="227" spans="1:53" s="76" customFormat="1" ht="15.75">
      <c r="A227" s="25"/>
      <c r="B227" s="25"/>
      <c r="C227" s="427" t="s">
        <v>203</v>
      </c>
      <c r="D227" s="440">
        <f t="shared" si="91"/>
        <v>889.52886142316947</v>
      </c>
      <c r="E227" s="25"/>
      <c r="F227" s="446">
        <f t="shared" ref="F227:AC227" si="95">F206*F$187</f>
        <v>0</v>
      </c>
      <c r="G227" s="446">
        <f t="shared" si="95"/>
        <v>7412.7326392383438</v>
      </c>
      <c r="H227" s="446">
        <f t="shared" si="95"/>
        <v>50212.038422970181</v>
      </c>
      <c r="I227" s="446">
        <f t="shared" si="95"/>
        <v>49267.052588689825</v>
      </c>
      <c r="J227" s="446">
        <f t="shared" si="95"/>
        <v>48335.98526327563</v>
      </c>
      <c r="K227" s="446">
        <f t="shared" si="95"/>
        <v>47418.979488250494</v>
      </c>
      <c r="L227" s="446">
        <f t="shared" si="95"/>
        <v>46516.173942685913</v>
      </c>
      <c r="M227" s="446">
        <f t="shared" si="95"/>
        <v>45627.704711951024</v>
      </c>
      <c r="N227" s="446">
        <f t="shared" si="95"/>
        <v>44753.707126761328</v>
      </c>
      <c r="O227" s="446">
        <f t="shared" si="95"/>
        <v>43602.073825471663</v>
      </c>
      <c r="P227" s="446">
        <f t="shared" si="95"/>
        <v>42482.21226203729</v>
      </c>
      <c r="Q227" s="446">
        <f t="shared" si="95"/>
        <v>41393.523663677734</v>
      </c>
      <c r="R227" s="446">
        <f t="shared" si="95"/>
        <v>40335.445702727164</v>
      </c>
      <c r="S227" s="446">
        <f t="shared" si="95"/>
        <v>39307.453838618268</v>
      </c>
      <c r="T227" s="446">
        <f t="shared" si="95"/>
        <v>38309.062857388068</v>
      </c>
      <c r="U227" s="446">
        <f t="shared" si="95"/>
        <v>37339.828627853618</v>
      </c>
      <c r="V227" s="446">
        <f t="shared" si="95"/>
        <v>36399.350095619011</v>
      </c>
      <c r="W227" s="446">
        <f t="shared" si="95"/>
        <v>35487.271538297136</v>
      </c>
      <c r="X227" s="446">
        <f t="shared" si="95"/>
        <v>34603.285107781296</v>
      </c>
      <c r="Y227" s="446">
        <f t="shared" si="95"/>
        <v>33747.13368810714</v>
      </c>
      <c r="Z227" s="446">
        <f t="shared" si="95"/>
        <v>32918.614100430997</v>
      </c>
      <c r="AA227" s="446">
        <f t="shared" si="95"/>
        <v>32117.580689945149</v>
      </c>
      <c r="AB227" s="446">
        <f t="shared" si="95"/>
        <v>31343.94933318632</v>
      </c>
      <c r="AC227" s="446">
        <f t="shared" si="95"/>
        <v>30597.701908205887</v>
      </c>
      <c r="AD227" s="358"/>
      <c r="AE227"/>
      <c r="AF227"/>
      <c r="AG227"/>
      <c r="AH227"/>
      <c r="AI227"/>
      <c r="AJ227"/>
      <c r="AK227"/>
      <c r="AL227"/>
      <c r="AM227"/>
      <c r="AN227"/>
      <c r="AO227"/>
      <c r="AP227"/>
      <c r="AQ227"/>
      <c r="AR227"/>
      <c r="AS227"/>
      <c r="AT227"/>
      <c r="AU227"/>
      <c r="AV227"/>
      <c r="AW227"/>
      <c r="AX227"/>
      <c r="AY227"/>
      <c r="AZ227"/>
      <c r="BA227"/>
    </row>
    <row r="228" spans="1:53" ht="15.75">
      <c r="C228" s="427" t="s">
        <v>204</v>
      </c>
      <c r="D228" s="440">
        <f t="shared" si="91"/>
        <v>1106.6644334725786</v>
      </c>
      <c r="F228" s="446">
        <f t="shared" ref="F228:AC228" si="96">F207*F$187</f>
        <v>0</v>
      </c>
      <c r="G228" s="446">
        <f t="shared" si="96"/>
        <v>40978.937357331386</v>
      </c>
      <c r="H228" s="446">
        <f t="shared" si="96"/>
        <v>77306.261764359821</v>
      </c>
      <c r="I228" s="446">
        <f t="shared" si="96"/>
        <v>72841.675632872517</v>
      </c>
      <c r="J228" s="446">
        <f t="shared" si="96"/>
        <v>68660.231610814619</v>
      </c>
      <c r="K228" s="446">
        <f t="shared" si="96"/>
        <v>64572.774132248043</v>
      </c>
      <c r="L228" s="446">
        <f t="shared" si="96"/>
        <v>60614.13071331985</v>
      </c>
      <c r="M228" s="446">
        <f t="shared" si="96"/>
        <v>56813.622835065129</v>
      </c>
      <c r="N228" s="446">
        <f t="shared" si="96"/>
        <v>53164.931722982277</v>
      </c>
      <c r="O228" s="446">
        <f t="shared" si="96"/>
        <v>50010.080639904452</v>
      </c>
      <c r="P228" s="446">
        <f t="shared" si="96"/>
        <v>48424.901870661401</v>
      </c>
      <c r="Q228" s="446">
        <f t="shared" si="96"/>
        <v>46897.818052285169</v>
      </c>
      <c r="R228" s="446">
        <f t="shared" si="96"/>
        <v>45427.818758576796</v>
      </c>
      <c r="S228" s="446">
        <f t="shared" si="96"/>
        <v>44013.99184586935</v>
      </c>
      <c r="T228" s="446">
        <f t="shared" si="96"/>
        <v>42655.526988943217</v>
      </c>
      <c r="U228" s="446">
        <f t="shared" si="96"/>
        <v>41351.719685487027</v>
      </c>
      <c r="V228" s="446">
        <f t="shared" si="96"/>
        <v>40101.975766545183</v>
      </c>
      <c r="W228" s="446">
        <f t="shared" si="96"/>
        <v>38905.81645368685</v>
      </c>
      <c r="X228" s="446">
        <f t="shared" si="96"/>
        <v>37762.884007190994</v>
      </c>
      <c r="Y228" s="446">
        <f t="shared" si="96"/>
        <v>36672.948013390473</v>
      </c>
      <c r="Z228" s="446">
        <f t="shared" si="96"/>
        <v>35909.63289330923</v>
      </c>
      <c r="AA228" s="446">
        <f t="shared" si="96"/>
        <v>35188.484782074913</v>
      </c>
      <c r="AB228" s="446">
        <f t="shared" si="96"/>
        <v>34510.677901686795</v>
      </c>
      <c r="AC228" s="446">
        <f t="shared" si="96"/>
        <v>33877.590043973345</v>
      </c>
    </row>
    <row r="229" spans="1:53" ht="15.75">
      <c r="C229" s="427" t="s">
        <v>601</v>
      </c>
      <c r="D229" s="440">
        <f t="shared" si="91"/>
        <v>0.35594860153414154</v>
      </c>
      <c r="F229" s="446">
        <f t="shared" ref="F229:AC229" si="97">F208*F$187</f>
        <v>0</v>
      </c>
      <c r="G229" s="446">
        <f t="shared" si="97"/>
        <v>2.1410161768094258</v>
      </c>
      <c r="H229" s="446">
        <f t="shared" si="97"/>
        <v>4.7260333782465143</v>
      </c>
      <c r="I229" s="446">
        <f t="shared" si="97"/>
        <v>5.2160725673695509</v>
      </c>
      <c r="J229" s="446">
        <f t="shared" si="97"/>
        <v>5.7569235869764128</v>
      </c>
      <c r="K229" s="446">
        <f t="shared" si="97"/>
        <v>6.353855081237656</v>
      </c>
      <c r="L229" s="446">
        <f t="shared" si="97"/>
        <v>7.0126819964572489</v>
      </c>
      <c r="M229" s="446">
        <f t="shared" si="97"/>
        <v>7.739822226769518</v>
      </c>
      <c r="N229" s="446">
        <f t="shared" si="97"/>
        <v>8.5423591333898905</v>
      </c>
      <c r="O229" s="446">
        <f t="shared" si="97"/>
        <v>9.4281105464442998</v>
      </c>
      <c r="P229" s="446">
        <f t="shared" si="97"/>
        <v>10.40570492155134</v>
      </c>
      <c r="Q229" s="446">
        <f t="shared" si="97"/>
        <v>11.484665393028703</v>
      </c>
      <c r="R229" s="446">
        <f t="shared" si="97"/>
        <v>12.675502542519444</v>
      </c>
      <c r="S229" s="446">
        <f t="shared" si="97"/>
        <v>13.989816786734083</v>
      </c>
      <c r="T229" s="446">
        <f t="shared" si="97"/>
        <v>15.440411381708062</v>
      </c>
      <c r="U229" s="446">
        <f t="shared" si="97"/>
        <v>17.041417144393915</v>
      </c>
      <c r="V229" s="446">
        <f t="shared" si="97"/>
        <v>18.808430106550485</v>
      </c>
      <c r="W229" s="446">
        <f t="shared" si="97"/>
        <v>20.758663441870478</v>
      </c>
      <c r="X229" s="446">
        <f t="shared" si="97"/>
        <v>22.911115146328509</v>
      </c>
      <c r="Y229" s="446">
        <f t="shared" si="97"/>
        <v>25.286753105190527</v>
      </c>
      <c r="Z229" s="446">
        <f t="shared" si="97"/>
        <v>27.908719349495726</v>
      </c>
      <c r="AA229" s="446">
        <f t="shared" si="97"/>
        <v>30.80255549175412</v>
      </c>
      <c r="AB229" s="446">
        <f t="shared" si="97"/>
        <v>33.996451536918521</v>
      </c>
      <c r="AC229" s="446">
        <f t="shared" si="97"/>
        <v>37.521520492397059</v>
      </c>
    </row>
    <row r="230" spans="1:53" ht="15.75">
      <c r="C230" s="427" t="s">
        <v>205</v>
      </c>
      <c r="D230" s="440">
        <f t="shared" si="91"/>
        <v>8528.6783824464528</v>
      </c>
      <c r="F230" s="446">
        <f t="shared" ref="F230:AC230" si="98">F209*F$187</f>
        <v>0</v>
      </c>
      <c r="G230" s="446">
        <f t="shared" si="98"/>
        <v>234372.45669127614</v>
      </c>
      <c r="H230" s="446">
        <f t="shared" si="98"/>
        <v>460362.57626116445</v>
      </c>
      <c r="I230" s="446">
        <f t="shared" si="98"/>
        <v>452140.64215959195</v>
      </c>
      <c r="J230" s="446">
        <f t="shared" si="98"/>
        <v>444084.11212567758</v>
      </c>
      <c r="K230" s="446">
        <f t="shared" si="98"/>
        <v>436198.30988365965</v>
      </c>
      <c r="L230" s="446">
        <f t="shared" si="98"/>
        <v>428488.93656971346</v>
      </c>
      <c r="M230" s="446">
        <f t="shared" si="98"/>
        <v>420962.13006969384</v>
      </c>
      <c r="N230" s="446">
        <f t="shared" si="98"/>
        <v>413624.52948074532</v>
      </c>
      <c r="O230" s="446">
        <f t="shared" si="98"/>
        <v>403824.94609767973</v>
      </c>
      <c r="P230" s="446">
        <f t="shared" si="98"/>
        <v>394384.49562630162</v>
      </c>
      <c r="Q230" s="446">
        <f t="shared" si="98"/>
        <v>385305.00212102057</v>
      </c>
      <c r="R230" s="446">
        <f t="shared" si="98"/>
        <v>376589.37506359001</v>
      </c>
      <c r="S230" s="446">
        <f t="shared" si="98"/>
        <v>368241.69974227104</v>
      </c>
      <c r="T230" s="446">
        <f t="shared" si="98"/>
        <v>360267.33753333479</v>
      </c>
      <c r="U230" s="446">
        <f t="shared" si="98"/>
        <v>352673.03709954751</v>
      </c>
      <c r="V230" s="446">
        <f t="shared" si="98"/>
        <v>345467.0576257417</v>
      </c>
      <c r="W230" s="446">
        <f t="shared" si="98"/>
        <v>338659.30532797368</v>
      </c>
      <c r="X230" s="446">
        <f t="shared" si="98"/>
        <v>332261.48460122361</v>
      </c>
      <c r="Y230" s="446">
        <f t="shared" si="98"/>
        <v>326287.26531237114</v>
      </c>
      <c r="Z230" s="446">
        <f t="shared" si="98"/>
        <v>320752.46790164732</v>
      </c>
      <c r="AA230" s="446">
        <f t="shared" si="98"/>
        <v>315675.26812845148</v>
      </c>
      <c r="AB230" s="446">
        <f t="shared" si="98"/>
        <v>311076.42348801752</v>
      </c>
      <c r="AC230" s="446">
        <f t="shared" si="98"/>
        <v>306979.52353575826</v>
      </c>
    </row>
    <row r="231" spans="1:53" ht="15.75">
      <c r="C231" s="426"/>
      <c r="D231" s="441"/>
      <c r="F231" s="437">
        <f>SUM(F224:F230)</f>
        <v>0</v>
      </c>
      <c r="G231" s="437">
        <f t="shared" ref="G231:AC231" si="99">SUM(G224:G230)</f>
        <v>412345.32859022991</v>
      </c>
      <c r="H231" s="437">
        <f t="shared" si="99"/>
        <v>843200.1560637448</v>
      </c>
      <c r="I231" s="437">
        <f t="shared" si="99"/>
        <v>825787.72944647702</v>
      </c>
      <c r="J231" s="437">
        <f t="shared" si="99"/>
        <v>808903.05276913033</v>
      </c>
      <c r="K231" s="437">
        <f t="shared" si="99"/>
        <v>792365.70668875915</v>
      </c>
      <c r="L231" s="437">
        <f t="shared" si="99"/>
        <v>776219.8459855814</v>
      </c>
      <c r="M231" s="437">
        <f t="shared" si="99"/>
        <v>760504.80447955593</v>
      </c>
      <c r="N231" s="437">
        <f t="shared" si="99"/>
        <v>745225.0631308083</v>
      </c>
      <c r="O231" s="437">
        <f t="shared" si="99"/>
        <v>726273.94003804587</v>
      </c>
      <c r="P231" s="437">
        <f t="shared" si="99"/>
        <v>709450.50563888764</v>
      </c>
      <c r="Q231" s="437">
        <f t="shared" si="99"/>
        <v>693246.4525397101</v>
      </c>
      <c r="R231" s="437">
        <f t="shared" si="99"/>
        <v>677665.74171006144</v>
      </c>
      <c r="S231" s="437">
        <f t="shared" si="99"/>
        <v>662714.27933741291</v>
      </c>
      <c r="T231" s="437">
        <f t="shared" si="99"/>
        <v>648400.08190735546</v>
      </c>
      <c r="U231" s="437">
        <f t="shared" si="99"/>
        <v>634733.45945417648</v>
      </c>
      <c r="V231" s="437">
        <f t="shared" si="99"/>
        <v>621727.21886131796</v>
      </c>
      <c r="W231" s="437">
        <f t="shared" si="99"/>
        <v>609396.88928850391</v>
      </c>
      <c r="X231" s="437">
        <f t="shared" si="99"/>
        <v>597760.97202027775</v>
      </c>
      <c r="Y231" s="437">
        <f t="shared" si="99"/>
        <v>586841.2172714998</v>
      </c>
      <c r="Z231" s="437">
        <f t="shared" si="99"/>
        <v>576936.65128123981</v>
      </c>
      <c r="AA231" s="437">
        <f t="shared" si="99"/>
        <v>567791.97488330654</v>
      </c>
      <c r="AB231" s="437">
        <f t="shared" si="99"/>
        <v>559441.63703469292</v>
      </c>
      <c r="AC231" s="437">
        <f t="shared" si="99"/>
        <v>551924.8166310814</v>
      </c>
    </row>
    <row r="232" spans="1:53" ht="15.75">
      <c r="C232" s="425" t="s">
        <v>184</v>
      </c>
      <c r="D232" s="442">
        <f>NPV(0.03,F212:AC212)/1000</f>
        <v>8093.8053064620281</v>
      </c>
    </row>
    <row r="233" spans="1:53" ht="15.75">
      <c r="C233" s="425" t="s">
        <v>185</v>
      </c>
      <c r="D233" s="443">
        <f>IRR(F233:AC233)</f>
        <v>0.19681022319064409</v>
      </c>
      <c r="F233" s="430">
        <f>F222+F231</f>
        <v>0</v>
      </c>
      <c r="G233" s="430">
        <f t="shared" ref="G233:AC233" si="100">G222+G231</f>
        <v>-1358588.2369925969</v>
      </c>
      <c r="H233" s="430">
        <f t="shared" si="100"/>
        <v>-1496774.5742854658</v>
      </c>
      <c r="I233" s="430">
        <f t="shared" si="100"/>
        <v>715344.43740895682</v>
      </c>
      <c r="J233" s="430">
        <f t="shared" si="100"/>
        <v>697314.99863459344</v>
      </c>
      <c r="K233" s="430">
        <f t="shared" si="100"/>
        <v>679325.43604700931</v>
      </c>
      <c r="L233" s="430">
        <f t="shared" si="100"/>
        <v>661390.27628717921</v>
      </c>
      <c r="M233" s="430">
        <f t="shared" si="100"/>
        <v>643516.18188061204</v>
      </c>
      <c r="N233" s="430">
        <f t="shared" si="100"/>
        <v>625671.60019760369</v>
      </c>
      <c r="O233" s="430">
        <f t="shared" si="100"/>
        <v>604208.84275099449</v>
      </c>
      <c r="P233" s="430">
        <f t="shared" si="100"/>
        <v>584355.33509187482</v>
      </c>
      <c r="Q233" s="430">
        <f t="shared" si="100"/>
        <v>564555.65729326219</v>
      </c>
      <c r="R233" s="430">
        <f t="shared" si="100"/>
        <v>544761.60457167705</v>
      </c>
      <c r="S233" s="430">
        <f t="shared" si="100"/>
        <v>524921.34433592332</v>
      </c>
      <c r="T233" s="430">
        <f t="shared" si="100"/>
        <v>504979.00746336876</v>
      </c>
      <c r="U233" s="430">
        <f t="shared" si="100"/>
        <v>484874.23815192189</v>
      </c>
      <c r="V233" s="430">
        <f t="shared" si="100"/>
        <v>464541.69805010618</v>
      </c>
      <c r="W233" s="430">
        <f t="shared" si="100"/>
        <v>443910.51992436266</v>
      </c>
      <c r="X233" s="430">
        <f t="shared" si="100"/>
        <v>422903.70563370874</v>
      </c>
      <c r="Y233" s="430">
        <f t="shared" si="100"/>
        <v>401437.46264241729</v>
      </c>
      <c r="Z233" s="430">
        <f t="shared" si="100"/>
        <v>379694.1932360956</v>
      </c>
      <c r="AA233" s="430">
        <f t="shared" si="100"/>
        <v>357289.74751288432</v>
      </c>
      <c r="AB233" s="430">
        <f t="shared" si="100"/>
        <v>334116.23246551305</v>
      </c>
      <c r="AC233" s="430">
        <f t="shared" si="100"/>
        <v>310055.5981600284</v>
      </c>
    </row>
    <row r="234" spans="1:53" ht="15.75">
      <c r="C234" s="425" t="s">
        <v>186</v>
      </c>
      <c r="D234" s="444">
        <f>SUM(D224:D230)/SUM(D218:D221)</f>
        <v>2.1094924428144268</v>
      </c>
    </row>
    <row r="237" spans="1:53" ht="14.25">
      <c r="C237" s="436" t="s">
        <v>619</v>
      </c>
      <c r="D237" s="39"/>
      <c r="E237" s="39"/>
    </row>
    <row r="238" spans="1:53" ht="15.75">
      <c r="C238" s="425" t="s">
        <v>1</v>
      </c>
      <c r="D238" s="442">
        <f>SUM(D239:D242)</f>
        <v>5542.9997267020726</v>
      </c>
      <c r="E238" s="39"/>
      <c r="F238" s="39"/>
    </row>
    <row r="239" spans="1:53" ht="15.75">
      <c r="C239" s="427" t="s">
        <v>199</v>
      </c>
      <c r="D239" s="440">
        <f>-SUM(F239:AC239)/1000</f>
        <v>3503.8921523162858</v>
      </c>
      <c r="E239" s="39"/>
      <c r="F239" s="430">
        <f>F197*F$189</f>
        <v>0</v>
      </c>
      <c r="G239" s="430">
        <f t="shared" ref="G239:AC239" si="101">G197*G$189</f>
        <v>-1514399.9344920954</v>
      </c>
      <c r="H239" s="430">
        <f t="shared" si="101"/>
        <v>-1989492.2178241904</v>
      </c>
      <c r="I239" s="430">
        <f t="shared" si="101"/>
        <v>0</v>
      </c>
      <c r="J239" s="430">
        <f t="shared" si="101"/>
        <v>0</v>
      </c>
      <c r="K239" s="430">
        <f t="shared" si="101"/>
        <v>0</v>
      </c>
      <c r="L239" s="430">
        <f t="shared" si="101"/>
        <v>0</v>
      </c>
      <c r="M239" s="430">
        <f t="shared" si="101"/>
        <v>0</v>
      </c>
      <c r="N239" s="430">
        <f t="shared" si="101"/>
        <v>0</v>
      </c>
      <c r="O239" s="430">
        <f t="shared" si="101"/>
        <v>0</v>
      </c>
      <c r="P239" s="430">
        <f t="shared" si="101"/>
        <v>0</v>
      </c>
      <c r="Q239" s="430">
        <f t="shared" si="101"/>
        <v>0</v>
      </c>
      <c r="R239" s="430">
        <f t="shared" si="101"/>
        <v>0</v>
      </c>
      <c r="S239" s="430">
        <f t="shared" si="101"/>
        <v>0</v>
      </c>
      <c r="T239" s="430">
        <f t="shared" si="101"/>
        <v>0</v>
      </c>
      <c r="U239" s="430">
        <f t="shared" si="101"/>
        <v>0</v>
      </c>
      <c r="V239" s="430">
        <f t="shared" si="101"/>
        <v>0</v>
      </c>
      <c r="W239" s="430">
        <f t="shared" si="101"/>
        <v>0</v>
      </c>
      <c r="X239" s="430">
        <f t="shared" si="101"/>
        <v>0</v>
      </c>
      <c r="Y239" s="430">
        <f t="shared" si="101"/>
        <v>0</v>
      </c>
      <c r="Z239" s="430">
        <f t="shared" si="101"/>
        <v>0</v>
      </c>
      <c r="AA239" s="430">
        <f t="shared" si="101"/>
        <v>0</v>
      </c>
      <c r="AB239" s="430">
        <f t="shared" si="101"/>
        <v>0</v>
      </c>
      <c r="AC239" s="430">
        <f t="shared" si="101"/>
        <v>0</v>
      </c>
    </row>
    <row r="240" spans="1:53" ht="15.75">
      <c r="C240" s="427" t="s">
        <v>200</v>
      </c>
      <c r="D240" s="440">
        <f>-SUM(F240:AC240)/1000</f>
        <v>0</v>
      </c>
      <c r="F240" s="430">
        <f t="shared" ref="F240:AC240" si="102">F198*F$189</f>
        <v>0</v>
      </c>
      <c r="G240" s="430">
        <f t="shared" si="102"/>
        <v>0</v>
      </c>
      <c r="H240" s="430">
        <f t="shared" si="102"/>
        <v>0</v>
      </c>
      <c r="I240" s="430">
        <f t="shared" si="102"/>
        <v>0</v>
      </c>
      <c r="J240" s="430">
        <f t="shared" si="102"/>
        <v>0</v>
      </c>
      <c r="K240" s="430">
        <f t="shared" si="102"/>
        <v>0</v>
      </c>
      <c r="L240" s="430">
        <f t="shared" si="102"/>
        <v>0</v>
      </c>
      <c r="M240" s="430">
        <f t="shared" si="102"/>
        <v>0</v>
      </c>
      <c r="N240" s="430">
        <f t="shared" si="102"/>
        <v>0</v>
      </c>
      <c r="O240" s="430">
        <f t="shared" si="102"/>
        <v>0</v>
      </c>
      <c r="P240" s="430">
        <f t="shared" si="102"/>
        <v>0</v>
      </c>
      <c r="Q240" s="430">
        <f t="shared" si="102"/>
        <v>0</v>
      </c>
      <c r="R240" s="430">
        <f t="shared" si="102"/>
        <v>0</v>
      </c>
      <c r="S240" s="430">
        <f t="shared" si="102"/>
        <v>0</v>
      </c>
      <c r="T240" s="430">
        <f t="shared" si="102"/>
        <v>0</v>
      </c>
      <c r="U240" s="430">
        <f t="shared" si="102"/>
        <v>0</v>
      </c>
      <c r="V240" s="430">
        <f t="shared" si="102"/>
        <v>0</v>
      </c>
      <c r="W240" s="430">
        <f t="shared" si="102"/>
        <v>0</v>
      </c>
      <c r="X240" s="430">
        <f t="shared" si="102"/>
        <v>0</v>
      </c>
      <c r="Y240" s="430">
        <f t="shared" si="102"/>
        <v>0</v>
      </c>
      <c r="Z240" s="430">
        <f t="shared" si="102"/>
        <v>0</v>
      </c>
      <c r="AA240" s="430">
        <f t="shared" si="102"/>
        <v>0</v>
      </c>
      <c r="AB240" s="430">
        <f t="shared" si="102"/>
        <v>0</v>
      </c>
      <c r="AC240" s="430">
        <f t="shared" si="102"/>
        <v>0</v>
      </c>
    </row>
    <row r="241" spans="3:29" ht="15.75">
      <c r="C241" s="428" t="s">
        <v>563</v>
      </c>
      <c r="D241" s="440">
        <f>-SUM(F241:AC241)/1000</f>
        <v>76.114246932096194</v>
      </c>
      <c r="F241" s="430">
        <f t="shared" ref="F241:AC241" si="103">F199*F$189</f>
        <v>0</v>
      </c>
      <c r="G241" s="430">
        <f t="shared" si="103"/>
        <v>-76114.246932096197</v>
      </c>
      <c r="H241" s="430">
        <f t="shared" si="103"/>
        <v>0</v>
      </c>
      <c r="I241" s="430">
        <f t="shared" si="103"/>
        <v>0</v>
      </c>
      <c r="J241" s="430">
        <f t="shared" si="103"/>
        <v>0</v>
      </c>
      <c r="K241" s="430">
        <f t="shared" si="103"/>
        <v>0</v>
      </c>
      <c r="L241" s="430">
        <f t="shared" si="103"/>
        <v>0</v>
      </c>
      <c r="M241" s="430">
        <f t="shared" si="103"/>
        <v>0</v>
      </c>
      <c r="N241" s="430">
        <f t="shared" si="103"/>
        <v>0</v>
      </c>
      <c r="O241" s="430">
        <f t="shared" si="103"/>
        <v>0</v>
      </c>
      <c r="P241" s="430">
        <f t="shared" si="103"/>
        <v>0</v>
      </c>
      <c r="Q241" s="430">
        <f t="shared" si="103"/>
        <v>0</v>
      </c>
      <c r="R241" s="430">
        <f t="shared" si="103"/>
        <v>0</v>
      </c>
      <c r="S241" s="430">
        <f t="shared" si="103"/>
        <v>0</v>
      </c>
      <c r="T241" s="430">
        <f t="shared" si="103"/>
        <v>0</v>
      </c>
      <c r="U241" s="430">
        <f t="shared" si="103"/>
        <v>0</v>
      </c>
      <c r="V241" s="430">
        <f t="shared" si="103"/>
        <v>0</v>
      </c>
      <c r="W241" s="430">
        <f t="shared" si="103"/>
        <v>0</v>
      </c>
      <c r="X241" s="430">
        <f t="shared" si="103"/>
        <v>0</v>
      </c>
      <c r="Y241" s="430">
        <f t="shared" si="103"/>
        <v>0</v>
      </c>
      <c r="Z241" s="430">
        <f t="shared" si="103"/>
        <v>0</v>
      </c>
      <c r="AA241" s="430">
        <f t="shared" si="103"/>
        <v>0</v>
      </c>
      <c r="AB241" s="430">
        <f t="shared" si="103"/>
        <v>0</v>
      </c>
      <c r="AC241" s="430">
        <f t="shared" si="103"/>
        <v>0</v>
      </c>
    </row>
    <row r="242" spans="3:29" ht="15.75">
      <c r="C242" s="427" t="s">
        <v>201</v>
      </c>
      <c r="D242" s="440">
        <f>-SUM(F242:AC242)/1000</f>
        <v>1962.9933274536909</v>
      </c>
      <c r="F242" s="430">
        <f t="shared" ref="F242:AC242" si="104">F200*F$189</f>
        <v>0</v>
      </c>
      <c r="G242" s="430">
        <f t="shared" si="104"/>
        <v>-50488.019402798396</v>
      </c>
      <c r="H242" s="430">
        <f t="shared" si="104"/>
        <v>-97743.550365417541</v>
      </c>
      <c r="I242" s="430">
        <f t="shared" si="104"/>
        <v>-94831.611665976801</v>
      </c>
      <c r="J242" s="430">
        <f t="shared" si="104"/>
        <v>-92232.703670181611</v>
      </c>
      <c r="K242" s="430">
        <f t="shared" si="104"/>
        <v>-89940.2045102517</v>
      </c>
      <c r="L242" s="430">
        <f t="shared" si="104"/>
        <v>-87948.384521015119</v>
      </c>
      <c r="M242" s="430">
        <f t="shared" si="104"/>
        <v>-86252.40309265352</v>
      </c>
      <c r="N242" s="430">
        <f t="shared" si="104"/>
        <v>-84848.307438826945</v>
      </c>
      <c r="O242" s="430">
        <f t="shared" si="104"/>
        <v>-83392.303791169106</v>
      </c>
      <c r="P242" s="430">
        <f t="shared" si="104"/>
        <v>-82267.530476917556</v>
      </c>
      <c r="Q242" s="430">
        <f t="shared" si="104"/>
        <v>-81468.336556649447</v>
      </c>
      <c r="R242" s="430">
        <f t="shared" si="104"/>
        <v>-80990.356653508774</v>
      </c>
      <c r="S242" s="430">
        <f t="shared" si="104"/>
        <v>-80830.489533991364</v>
      </c>
      <c r="T242" s="430">
        <f t="shared" si="104"/>
        <v>-80986.88164314031</v>
      </c>
      <c r="U242" s="430">
        <f t="shared" si="104"/>
        <v>-81458.915515414206</v>
      </c>
      <c r="V242" s="430">
        <f t="shared" si="104"/>
        <v>-82247.203001420901</v>
      </c>
      <c r="W242" s="430">
        <f t="shared" si="104"/>
        <v>-83353.583269360868</v>
      </c>
      <c r="X242" s="430">
        <f t="shared" si="104"/>
        <v>-84781.125558469445</v>
      </c>
      <c r="Y242" s="430">
        <f t="shared" si="104"/>
        <v>-86534.136680058335</v>
      </c>
      <c r="Z242" s="430">
        <f t="shared" si="104"/>
        <v>-88618.173280002185</v>
      </c>
      <c r="AA242" s="430">
        <f t="shared" si="104"/>
        <v>-91040.05889476517</v>
      </c>
      <c r="AB242" s="430">
        <f t="shared" si="104"/>
        <v>-93807.905851387055</v>
      </c>
      <c r="AC242" s="430">
        <f t="shared" si="104"/>
        <v>-96931.142080314734</v>
      </c>
    </row>
    <row r="243" spans="3:29" ht="15.75">
      <c r="C243" s="426"/>
      <c r="D243" s="441"/>
      <c r="F243" s="438">
        <f>SUM(F239:F242)</f>
        <v>0</v>
      </c>
      <c r="G243" s="438">
        <f t="shared" ref="G243:AC243" si="105">SUM(G239:G242)</f>
        <v>-1641002.2008269902</v>
      </c>
      <c r="H243" s="438">
        <f t="shared" si="105"/>
        <v>-2087235.7681896079</v>
      </c>
      <c r="I243" s="438">
        <f t="shared" si="105"/>
        <v>-94831.611665976801</v>
      </c>
      <c r="J243" s="438">
        <f t="shared" si="105"/>
        <v>-92232.703670181611</v>
      </c>
      <c r="K243" s="438">
        <f t="shared" si="105"/>
        <v>-89940.2045102517</v>
      </c>
      <c r="L243" s="438">
        <f t="shared" si="105"/>
        <v>-87948.384521015119</v>
      </c>
      <c r="M243" s="438">
        <f t="shared" si="105"/>
        <v>-86252.40309265352</v>
      </c>
      <c r="N243" s="438">
        <f t="shared" si="105"/>
        <v>-84848.307438826945</v>
      </c>
      <c r="O243" s="438">
        <f t="shared" si="105"/>
        <v>-83392.303791169106</v>
      </c>
      <c r="P243" s="438">
        <f t="shared" si="105"/>
        <v>-82267.530476917556</v>
      </c>
      <c r="Q243" s="438">
        <f t="shared" si="105"/>
        <v>-81468.336556649447</v>
      </c>
      <c r="R243" s="438">
        <f t="shared" si="105"/>
        <v>-80990.356653508774</v>
      </c>
      <c r="S243" s="438">
        <f t="shared" si="105"/>
        <v>-80830.489533991364</v>
      </c>
      <c r="T243" s="438">
        <f t="shared" si="105"/>
        <v>-80986.88164314031</v>
      </c>
      <c r="U243" s="438">
        <f t="shared" si="105"/>
        <v>-81458.915515414206</v>
      </c>
      <c r="V243" s="438">
        <f t="shared" si="105"/>
        <v>-82247.203001420901</v>
      </c>
      <c r="W243" s="438">
        <f t="shared" si="105"/>
        <v>-83353.583269360868</v>
      </c>
      <c r="X243" s="438">
        <f t="shared" si="105"/>
        <v>-84781.125558469445</v>
      </c>
      <c r="Y243" s="438">
        <f t="shared" si="105"/>
        <v>-86534.136680058335</v>
      </c>
      <c r="Z243" s="438">
        <f t="shared" si="105"/>
        <v>-88618.173280002185</v>
      </c>
      <c r="AA243" s="438">
        <f t="shared" si="105"/>
        <v>-91040.05889476517</v>
      </c>
      <c r="AB243" s="438">
        <f t="shared" si="105"/>
        <v>-93807.905851387055</v>
      </c>
      <c r="AC243" s="438">
        <f t="shared" si="105"/>
        <v>-96931.142080314734</v>
      </c>
    </row>
    <row r="244" spans="3:29" ht="15.75">
      <c r="C244" s="425" t="s">
        <v>0</v>
      </c>
      <c r="D244" s="442">
        <f>SUM(D245:D251)</f>
        <v>9895.7584115545433</v>
      </c>
      <c r="F244" s="430"/>
      <c r="G244" s="430"/>
      <c r="H244" s="430"/>
      <c r="I244" s="430"/>
      <c r="J244" s="430"/>
      <c r="K244" s="430"/>
      <c r="L244" s="430"/>
      <c r="M244" s="430"/>
      <c r="N244" s="430"/>
      <c r="O244" s="430"/>
      <c r="P244" s="430"/>
      <c r="Q244" s="430"/>
      <c r="R244" s="430"/>
      <c r="S244" s="430"/>
      <c r="T244" s="430"/>
      <c r="U244" s="430"/>
      <c r="V244" s="430"/>
      <c r="W244" s="430"/>
      <c r="X244" s="430"/>
      <c r="Y244" s="430"/>
      <c r="Z244" s="430"/>
      <c r="AA244" s="430"/>
      <c r="AB244" s="430"/>
      <c r="AC244" s="430"/>
    </row>
    <row r="245" spans="3:29" ht="15.75">
      <c r="C245" s="427" t="s">
        <v>599</v>
      </c>
      <c r="D245" s="440">
        <f t="shared" ref="D245:D251" si="106">SUM(F245:AC245)/1000</f>
        <v>94.0913459406177</v>
      </c>
      <c r="F245" s="430">
        <f>F203*F$189</f>
        <v>0</v>
      </c>
      <c r="G245" s="430">
        <f t="shared" ref="G245:AC245" si="107">G203*G$189</f>
        <v>1362.7327472615714</v>
      </c>
      <c r="H245" s="430">
        <f t="shared" si="107"/>
        <v>3101.1384682348921</v>
      </c>
      <c r="I245" s="430">
        <f t="shared" si="107"/>
        <v>3428.2994991138612</v>
      </c>
      <c r="J245" s="430">
        <f t="shared" si="107"/>
        <v>3710.8487003710816</v>
      </c>
      <c r="K245" s="430">
        <f t="shared" si="107"/>
        <v>3952.4284482207286</v>
      </c>
      <c r="L245" s="430">
        <f t="shared" si="107"/>
        <v>4156.4382352412431</v>
      </c>
      <c r="M245" s="430">
        <f t="shared" si="107"/>
        <v>4326.0488682711884</v>
      </c>
      <c r="N245" s="430">
        <f t="shared" si="107"/>
        <v>4464.2160288057294</v>
      </c>
      <c r="O245" s="430">
        <f t="shared" si="107"/>
        <v>4541.646845015558</v>
      </c>
      <c r="P245" s="430">
        <f t="shared" si="107"/>
        <v>4592.3528827476739</v>
      </c>
      <c r="Q245" s="430">
        <f t="shared" si="107"/>
        <v>4619.2009759180974</v>
      </c>
      <c r="R245" s="430">
        <f t="shared" si="107"/>
        <v>4624.8157897622887</v>
      </c>
      <c r="S245" s="430">
        <f t="shared" si="107"/>
        <v>4611.5991378661556</v>
      </c>
      <c r="T245" s="430">
        <f t="shared" si="107"/>
        <v>4581.7479331696686</v>
      </c>
      <c r="U245" s="430">
        <f t="shared" si="107"/>
        <v>4537.2708735916076</v>
      </c>
      <c r="V245" s="430">
        <f t="shared" si="107"/>
        <v>4480.0039563836917</v>
      </c>
      <c r="W245" s="430">
        <f t="shared" si="107"/>
        <v>4411.6249092508606</v>
      </c>
      <c r="X245" s="430">
        <f t="shared" si="107"/>
        <v>4333.6666206411783</v>
      </c>
      <c r="Y245" s="430">
        <f t="shared" si="107"/>
        <v>4247.5296463883524</v>
      </c>
      <c r="Z245" s="430">
        <f t="shared" si="107"/>
        <v>4154.4938650587383</v>
      </c>
      <c r="AA245" s="430">
        <f t="shared" si="107"/>
        <v>4055.7293498874719</v>
      </c>
      <c r="AB245" s="430">
        <f t="shared" si="107"/>
        <v>3952.3065210664095</v>
      </c>
      <c r="AC245" s="430">
        <f t="shared" si="107"/>
        <v>3845.2056383496338</v>
      </c>
    </row>
    <row r="246" spans="3:29" ht="15.75">
      <c r="C246" s="427" t="s">
        <v>600</v>
      </c>
      <c r="D246" s="440">
        <f t="shared" si="106"/>
        <v>2951.1312388925398</v>
      </c>
      <c r="F246" s="430">
        <f t="shared" ref="F246:AC246" si="108">F204*F$189</f>
        <v>0</v>
      </c>
      <c r="G246" s="430">
        <f t="shared" si="108"/>
        <v>118059.10500619267</v>
      </c>
      <c r="H246" s="430">
        <f t="shared" si="108"/>
        <v>223134.72938783755</v>
      </c>
      <c r="I246" s="430">
        <f t="shared" si="108"/>
        <v>210859.28112394761</v>
      </c>
      <c r="J246" s="430">
        <f t="shared" si="108"/>
        <v>199256.02953444113</v>
      </c>
      <c r="K246" s="430">
        <f t="shared" si="108"/>
        <v>188290.87465031183</v>
      </c>
      <c r="L246" s="430">
        <f t="shared" si="108"/>
        <v>177931.38330806978</v>
      </c>
      <c r="M246" s="430">
        <f t="shared" si="108"/>
        <v>168146.72212679085</v>
      </c>
      <c r="N246" s="430">
        <f t="shared" si="108"/>
        <v>158907.59244054952</v>
      </c>
      <c r="O246" s="430">
        <f t="shared" si="108"/>
        <v>149195.5961098035</v>
      </c>
      <c r="P246" s="430">
        <f t="shared" si="108"/>
        <v>140104.49532311372</v>
      </c>
      <c r="Q246" s="430">
        <f t="shared" si="108"/>
        <v>131596.50690452842</v>
      </c>
      <c r="R246" s="430">
        <f t="shared" si="108"/>
        <v>123636.25189961857</v>
      </c>
      <c r="S246" s="430">
        <f t="shared" si="108"/>
        <v>116190.61007548917</v>
      </c>
      <c r="T246" s="430">
        <f t="shared" si="108"/>
        <v>109228.58362824516</v>
      </c>
      <c r="U246" s="430">
        <f t="shared" si="108"/>
        <v>102721.16954462006</v>
      </c>
      <c r="V246" s="430">
        <f t="shared" si="108"/>
        <v>96641.240099254748</v>
      </c>
      <c r="W246" s="430">
        <f t="shared" si="108"/>
        <v>90963.431001821707</v>
      </c>
      <c r="X246" s="430">
        <f t="shared" si="108"/>
        <v>85664.036738956594</v>
      </c>
      <c r="Y246" s="430">
        <f t="shared" si="108"/>
        <v>80720.912684905445</v>
      </c>
      <c r="Z246" s="430">
        <f t="shared" si="108"/>
        <v>76113.383582036957</v>
      </c>
      <c r="AA246" s="430">
        <f t="shared" si="108"/>
        <v>71822.15801801144</v>
      </c>
      <c r="AB246" s="430">
        <f t="shared" si="108"/>
        <v>67829.248550544624</v>
      </c>
      <c r="AC246" s="430">
        <f t="shared" si="108"/>
        <v>64117.897153448961</v>
      </c>
    </row>
    <row r="247" spans="3:29" ht="15.75">
      <c r="C247" s="427" t="s">
        <v>202</v>
      </c>
      <c r="D247" s="440">
        <f t="shared" si="106"/>
        <v>66.053281742860662</v>
      </c>
      <c r="F247" s="430">
        <f t="shared" ref="F247:AC247" si="109">F205*F$189</f>
        <v>0</v>
      </c>
      <c r="G247" s="430">
        <f t="shared" si="109"/>
        <v>650.15604004493321</v>
      </c>
      <c r="H247" s="430">
        <f t="shared" si="109"/>
        <v>1502.3472040179704</v>
      </c>
      <c r="I247" s="430">
        <f t="shared" si="109"/>
        <v>1690.1659412845204</v>
      </c>
      <c r="J247" s="430">
        <f t="shared" si="109"/>
        <v>1865.3418877123272</v>
      </c>
      <c r="K247" s="430">
        <f t="shared" si="109"/>
        <v>2029.3724068016111</v>
      </c>
      <c r="L247" s="430">
        <f t="shared" si="109"/>
        <v>2183.6845237436587</v>
      </c>
      <c r="M247" s="430">
        <f t="shared" si="109"/>
        <v>2329.640648540716</v>
      </c>
      <c r="N247" s="430">
        <f t="shared" si="109"/>
        <v>2468.5441373147746</v>
      </c>
      <c r="O247" s="430">
        <f t="shared" si="109"/>
        <v>2592.8254133380879</v>
      </c>
      <c r="P247" s="430">
        <f t="shared" si="109"/>
        <v>2712.0618758746805</v>
      </c>
      <c r="Q247" s="430">
        <f t="shared" si="109"/>
        <v>2827.595952169946</v>
      </c>
      <c r="R247" s="430">
        <f t="shared" si="109"/>
        <v>2940.7046566682839</v>
      </c>
      <c r="S247" s="430">
        <f t="shared" si="109"/>
        <v>3052.6075501579676</v>
      </c>
      <c r="T247" s="430">
        <f t="shared" si="109"/>
        <v>3164.4743046842018</v>
      </c>
      <c r="U247" s="430">
        <f t="shared" si="109"/>
        <v>3277.4319137605198</v>
      </c>
      <c r="V247" s="430">
        <f t="shared" si="109"/>
        <v>3392.5715854745836</v>
      </c>
      <c r="W247" s="430">
        <f t="shared" si="109"/>
        <v>3510.9553543306688</v>
      </c>
      <c r="X247" s="430">
        <f t="shared" si="109"/>
        <v>3633.6224460873282</v>
      </c>
      <c r="Y247" s="430">
        <f t="shared" si="109"/>
        <v>3761.5954284292829</v>
      </c>
      <c r="Z247" s="430">
        <f t="shared" si="109"/>
        <v>3895.8861790484862</v>
      </c>
      <c r="AA247" s="430">
        <f t="shared" si="109"/>
        <v>4037.5017015958365</v>
      </c>
      <c r="AB247" s="430">
        <f t="shared" si="109"/>
        <v>4187.4498189955902</v>
      </c>
      <c r="AC247" s="430">
        <f t="shared" si="109"/>
        <v>4346.7447727846729</v>
      </c>
    </row>
    <row r="248" spans="3:29" ht="15.75">
      <c r="C248" s="427" t="s">
        <v>203</v>
      </c>
      <c r="D248" s="440">
        <f t="shared" si="106"/>
        <v>569.60877554623892</v>
      </c>
      <c r="F248" s="430">
        <f t="shared" ref="F248:AC248" si="110">F206*F$189</f>
        <v>0</v>
      </c>
      <c r="G248" s="430">
        <f t="shared" si="110"/>
        <v>6868.8689466049073</v>
      </c>
      <c r="H248" s="430">
        <f t="shared" si="110"/>
        <v>44788.67281378444</v>
      </c>
      <c r="I248" s="430">
        <f t="shared" si="110"/>
        <v>42302.922276444602</v>
      </c>
      <c r="J248" s="430">
        <f t="shared" si="110"/>
        <v>39951.934281593974</v>
      </c>
      <c r="K248" s="430">
        <f t="shared" si="110"/>
        <v>37728.790709967652</v>
      </c>
      <c r="L248" s="430">
        <f t="shared" si="110"/>
        <v>35626.906580794152</v>
      </c>
      <c r="M248" s="430">
        <f t="shared" si="110"/>
        <v>33640.016367226577</v>
      </c>
      <c r="N248" s="430">
        <f t="shared" si="110"/>
        <v>31762.160694920487</v>
      </c>
      <c r="O248" s="430">
        <f t="shared" si="110"/>
        <v>29788.018583461439</v>
      </c>
      <c r="P248" s="430">
        <f t="shared" si="110"/>
        <v>27937.982551297548</v>
      </c>
      <c r="Q248" s="430">
        <f t="shared" si="110"/>
        <v>26204.372353439259</v>
      </c>
      <c r="R248" s="430">
        <f t="shared" si="110"/>
        <v>24579.988280128724</v>
      </c>
      <c r="S248" s="430">
        <f t="shared" si="110"/>
        <v>23058.081577810477</v>
      </c>
      <c r="T248" s="430">
        <f t="shared" si="110"/>
        <v>21632.326710134974</v>
      </c>
      <c r="U248" s="430">
        <f t="shared" si="110"/>
        <v>20296.795346491042</v>
      </c>
      <c r="V248" s="430">
        <f t="shared" si="110"/>
        <v>19045.931972511724</v>
      </c>
      <c r="W248" s="430">
        <f t="shared" si="110"/>
        <v>17874.531023525065</v>
      </c>
      <c r="X248" s="430">
        <f t="shared" si="110"/>
        <v>16777.715448053372</v>
      </c>
      <c r="Y248" s="430">
        <f t="shared" si="110"/>
        <v>15750.916614224745</v>
      </c>
      <c r="Z248" s="430">
        <f t="shared" si="110"/>
        <v>14789.855477373134</v>
      </c>
      <c r="AA248" s="430">
        <f t="shared" si="110"/>
        <v>13890.524932188102</v>
      </c>
      <c r="AB248" s="430">
        <f t="shared" si="110"/>
        <v>13049.173277554013</v>
      </c>
      <c r="AC248" s="430">
        <f t="shared" si="110"/>
        <v>12262.288726708639</v>
      </c>
    </row>
    <row r="249" spans="3:29" ht="15.75">
      <c r="C249" s="427" t="s">
        <v>204</v>
      </c>
      <c r="D249" s="440">
        <f t="shared" si="106"/>
        <v>734.7151816897092</v>
      </c>
      <c r="F249" s="430">
        <f t="shared" ref="F249:AC249" si="111">F207*F$189</f>
        <v>0</v>
      </c>
      <c r="G249" s="430">
        <f t="shared" si="111"/>
        <v>37972.359719095875</v>
      </c>
      <c r="H249" s="430">
        <f t="shared" si="111"/>
        <v>68956.468874140424</v>
      </c>
      <c r="I249" s="430">
        <f t="shared" si="111"/>
        <v>62545.161134538648</v>
      </c>
      <c r="J249" s="430">
        <f t="shared" si="111"/>
        <v>56750.866794856192</v>
      </c>
      <c r="K249" s="430">
        <f t="shared" si="111"/>
        <v>51377.16389280912</v>
      </c>
      <c r="L249" s="430">
        <f t="shared" si="111"/>
        <v>46424.582878640751</v>
      </c>
      <c r="M249" s="430">
        <f t="shared" si="111"/>
        <v>41887.077470115102</v>
      </c>
      <c r="N249" s="430">
        <f t="shared" si="111"/>
        <v>37731.692258183655</v>
      </c>
      <c r="O249" s="430">
        <f t="shared" si="111"/>
        <v>34165.833887277586</v>
      </c>
      <c r="P249" s="430">
        <f t="shared" si="111"/>
        <v>31846.13021482875</v>
      </c>
      <c r="Q249" s="430">
        <f t="shared" si="111"/>
        <v>29688.892803399915</v>
      </c>
      <c r="R249" s="430">
        <f t="shared" si="111"/>
        <v>27683.225838313541</v>
      </c>
      <c r="S249" s="430">
        <f t="shared" si="111"/>
        <v>25818.976184869458</v>
      </c>
      <c r="T249" s="430">
        <f t="shared" si="111"/>
        <v>24086.684115788685</v>
      </c>
      <c r="U249" s="430">
        <f t="shared" si="111"/>
        <v>22477.537324735185</v>
      </c>
      <c r="V249" s="430">
        <f t="shared" si="111"/>
        <v>20983.328010157551</v>
      </c>
      <c r="W249" s="430">
        <f t="shared" si="111"/>
        <v>19596.412827808163</v>
      </c>
      <c r="X249" s="430">
        <f t="shared" si="111"/>
        <v>18309.675523495975</v>
      </c>
      <c r="Y249" s="430">
        <f t="shared" si="111"/>
        <v>17116.492069970271</v>
      </c>
      <c r="Z249" s="430">
        <f t="shared" si="111"/>
        <v>16133.676804170638</v>
      </c>
      <c r="AA249" s="430">
        <f t="shared" si="111"/>
        <v>15218.659522021673</v>
      </c>
      <c r="AB249" s="430">
        <f t="shared" si="111"/>
        <v>14367.551806503174</v>
      </c>
      <c r="AC249" s="430">
        <f t="shared" si="111"/>
        <v>13576.731733988887</v>
      </c>
    </row>
    <row r="250" spans="3:29" ht="15.75">
      <c r="C250" s="427" t="s">
        <v>601</v>
      </c>
      <c r="D250" s="440">
        <f t="shared" si="106"/>
        <v>0.19035923526949816</v>
      </c>
      <c r="F250" s="430">
        <f t="shared" ref="F250:AC250" si="112">F208*F$189</f>
        <v>0</v>
      </c>
      <c r="G250" s="430">
        <f t="shared" si="112"/>
        <v>1.9839322752879025</v>
      </c>
      <c r="H250" s="430">
        <f t="shared" si="112"/>
        <v>4.2155779636397899</v>
      </c>
      <c r="I250" s="430">
        <f t="shared" si="112"/>
        <v>4.4787561019305731</v>
      </c>
      <c r="J250" s="430">
        <f t="shared" si="112"/>
        <v>4.758364426798761</v>
      </c>
      <c r="K250" s="430">
        <f t="shared" si="112"/>
        <v>5.0554286732568512</v>
      </c>
      <c r="L250" s="430">
        <f t="shared" si="112"/>
        <v>5.3710386128583059</v>
      </c>
      <c r="M250" s="430">
        <f t="shared" si="112"/>
        <v>5.7063520514928268</v>
      </c>
      <c r="N250" s="430">
        <f t="shared" si="112"/>
        <v>6.0625990767635933</v>
      </c>
      <c r="O250" s="430">
        <f t="shared" si="112"/>
        <v>6.441086570527899</v>
      </c>
      <c r="P250" s="430">
        <f t="shared" si="112"/>
        <v>6.8432030031552493</v>
      </c>
      <c r="Q250" s="430">
        <f t="shared" si="112"/>
        <v>7.2704235270905473</v>
      </c>
      <c r="R250" s="430">
        <f t="shared" si="112"/>
        <v>7.7243153884079758</v>
      </c>
      <c r="S250" s="430">
        <f t="shared" si="112"/>
        <v>8.2065436762076516</v>
      </c>
      <c r="T250" s="430">
        <f t="shared" si="112"/>
        <v>8.7188774309465966</v>
      </c>
      <c r="U250" s="430">
        <f t="shared" si="112"/>
        <v>9.2631961341122366</v>
      </c>
      <c r="V250" s="430">
        <f t="shared" si="112"/>
        <v>9.8414966030455986</v>
      </c>
      <c r="W250" s="430">
        <f t="shared" si="112"/>
        <v>10.455900316207698</v>
      </c>
      <c r="X250" s="430">
        <f t="shared" si="112"/>
        <v>11.1086611957616</v>
      </c>
      <c r="Y250" s="430">
        <f t="shared" si="112"/>
        <v>11.80217387602036</v>
      </c>
      <c r="Z250" s="430">
        <f t="shared" si="112"/>
        <v>12.538982488093406</v>
      </c>
      <c r="AA250" s="430">
        <f t="shared" si="112"/>
        <v>13.321789992957557</v>
      </c>
      <c r="AB250" s="430">
        <f t="shared" si="112"/>
        <v>14.153468097190792</v>
      </c>
      <c r="AC250" s="430">
        <f t="shared" si="112"/>
        <v>15.037067787744384</v>
      </c>
    </row>
    <row r="251" spans="3:29" ht="15.75">
      <c r="C251" s="427" t="s">
        <v>205</v>
      </c>
      <c r="D251" s="440">
        <f t="shared" si="106"/>
        <v>5479.9682285073068</v>
      </c>
      <c r="F251" s="430">
        <f t="shared" ref="F251:AC251" si="113">F209*F$189</f>
        <v>0</v>
      </c>
      <c r="G251" s="430">
        <f t="shared" si="113"/>
        <v>217176.81832804161</v>
      </c>
      <c r="H251" s="430">
        <f t="shared" si="113"/>
        <v>410639.15051972331</v>
      </c>
      <c r="I251" s="430">
        <f t="shared" si="113"/>
        <v>388228.42931119248</v>
      </c>
      <c r="J251" s="430">
        <f t="shared" si="113"/>
        <v>367056.12115917675</v>
      </c>
      <c r="K251" s="430">
        <f t="shared" si="113"/>
        <v>347060.07845909026</v>
      </c>
      <c r="L251" s="430">
        <f t="shared" si="113"/>
        <v>328181.23289508763</v>
      </c>
      <c r="M251" s="430">
        <f t="shared" si="113"/>
        <v>310363.47401051497</v>
      </c>
      <c r="N251" s="430">
        <f t="shared" si="113"/>
        <v>293553.53145421174</v>
      </c>
      <c r="O251" s="430">
        <f t="shared" si="113"/>
        <v>275884.6986721938</v>
      </c>
      <c r="P251" s="430">
        <f t="shared" si="113"/>
        <v>259362.83848277869</v>
      </c>
      <c r="Q251" s="430">
        <f t="shared" si="113"/>
        <v>243919.21372187079</v>
      </c>
      <c r="R251" s="430">
        <f t="shared" si="113"/>
        <v>229489.52873125652</v>
      </c>
      <c r="S251" s="430">
        <f t="shared" si="113"/>
        <v>216013.66468226447</v>
      </c>
      <c r="T251" s="430">
        <f t="shared" si="113"/>
        <v>203435.43191134406</v>
      </c>
      <c r="U251" s="430">
        <f t="shared" si="113"/>
        <v>191702.33826127835</v>
      </c>
      <c r="V251" s="430">
        <f t="shared" si="113"/>
        <v>180765.37248602125</v>
      </c>
      <c r="W251" s="430">
        <f t="shared" si="113"/>
        <v>170578.801837657</v>
      </c>
      <c r="X251" s="430">
        <f t="shared" si="113"/>
        <v>161099.9830109636</v>
      </c>
      <c r="Y251" s="430">
        <f t="shared" si="113"/>
        <v>152289.1856747448</v>
      </c>
      <c r="Z251" s="430">
        <f t="shared" si="113"/>
        <v>144109.42786968724</v>
      </c>
      <c r="AA251" s="430">
        <f t="shared" si="113"/>
        <v>136526.32260020042</v>
      </c>
      <c r="AB251" s="430">
        <f t="shared" si="113"/>
        <v>129507.93499270437</v>
      </c>
      <c r="AC251" s="430">
        <f t="shared" si="113"/>
        <v>123024.64943530256</v>
      </c>
    </row>
    <row r="252" spans="3:29" ht="15.75">
      <c r="C252" s="426"/>
      <c r="D252" s="441"/>
      <c r="F252" s="437">
        <f>SUM(F245:F251)</f>
        <v>0</v>
      </c>
      <c r="G252" s="437">
        <f t="shared" ref="G252:AC252" si="114">SUM(G245:G251)</f>
        <v>382092.02471951686</v>
      </c>
      <c r="H252" s="437">
        <f t="shared" si="114"/>
        <v>752126.7228457022</v>
      </c>
      <c r="I252" s="437">
        <f t="shared" si="114"/>
        <v>709058.73804262374</v>
      </c>
      <c r="J252" s="437">
        <f t="shared" si="114"/>
        <v>668595.90072257817</v>
      </c>
      <c r="K252" s="437">
        <f t="shared" si="114"/>
        <v>630443.76399587444</v>
      </c>
      <c r="L252" s="437">
        <f t="shared" si="114"/>
        <v>594509.59946019005</v>
      </c>
      <c r="M252" s="437">
        <f t="shared" si="114"/>
        <v>560698.6858435109</v>
      </c>
      <c r="N252" s="437">
        <f t="shared" si="114"/>
        <v>528893.79961306276</v>
      </c>
      <c r="O252" s="437">
        <f t="shared" si="114"/>
        <v>496175.06059766049</v>
      </c>
      <c r="P252" s="437">
        <f t="shared" si="114"/>
        <v>466562.70453364425</v>
      </c>
      <c r="Q252" s="437">
        <f t="shared" si="114"/>
        <v>438863.05313485349</v>
      </c>
      <c r="R252" s="437">
        <f t="shared" si="114"/>
        <v>412962.23951113631</v>
      </c>
      <c r="S252" s="437">
        <f t="shared" si="114"/>
        <v>388753.74575213389</v>
      </c>
      <c r="T252" s="437">
        <f t="shared" si="114"/>
        <v>366137.96748079767</v>
      </c>
      <c r="U252" s="437">
        <f t="shared" si="114"/>
        <v>345021.80646061088</v>
      </c>
      <c r="V252" s="437">
        <f t="shared" si="114"/>
        <v>325318.28960640659</v>
      </c>
      <c r="W252" s="437">
        <f t="shared" si="114"/>
        <v>306946.21285470971</v>
      </c>
      <c r="X252" s="437">
        <f t="shared" si="114"/>
        <v>289829.80844939384</v>
      </c>
      <c r="Y252" s="437">
        <f t="shared" si="114"/>
        <v>273898.43429253891</v>
      </c>
      <c r="Z252" s="437">
        <f t="shared" si="114"/>
        <v>259209.26275986328</v>
      </c>
      <c r="AA252" s="437">
        <f t="shared" si="114"/>
        <v>245564.21791389791</v>
      </c>
      <c r="AB252" s="437">
        <f t="shared" si="114"/>
        <v>232907.81843546539</v>
      </c>
      <c r="AC252" s="437">
        <f t="shared" si="114"/>
        <v>221188.55452837108</v>
      </c>
    </row>
    <row r="253" spans="3:29" ht="15.75">
      <c r="C253" s="425" t="s">
        <v>184</v>
      </c>
      <c r="D253" s="442">
        <f>NPV(0.07,F212:AC212)/1000</f>
        <v>4352.7586848524679</v>
      </c>
    </row>
    <row r="254" spans="3:29" ht="15.75">
      <c r="C254" s="425" t="s">
        <v>185</v>
      </c>
      <c r="D254" s="443">
        <f>IRR(F254:AC254)</f>
        <v>0.15206965409940509</v>
      </c>
      <c r="F254" s="430">
        <f>F243+F252</f>
        <v>0</v>
      </c>
      <c r="G254" s="430">
        <f t="shared" ref="G254:AC254" si="115">G243+G252</f>
        <v>-1258910.1761074732</v>
      </c>
      <c r="H254" s="430">
        <f t="shared" si="115"/>
        <v>-1335109.0453439057</v>
      </c>
      <c r="I254" s="430">
        <f t="shared" si="115"/>
        <v>614227.12637664692</v>
      </c>
      <c r="J254" s="430">
        <f t="shared" si="115"/>
        <v>576363.1970523966</v>
      </c>
      <c r="K254" s="430">
        <f t="shared" si="115"/>
        <v>540503.55948562268</v>
      </c>
      <c r="L254" s="430">
        <f t="shared" si="115"/>
        <v>506561.21493917494</v>
      </c>
      <c r="M254" s="430">
        <f t="shared" si="115"/>
        <v>474446.28275085741</v>
      </c>
      <c r="N254" s="430">
        <f t="shared" si="115"/>
        <v>444045.49217423581</v>
      </c>
      <c r="O254" s="430">
        <f t="shared" si="115"/>
        <v>412782.75680649141</v>
      </c>
      <c r="P254" s="430">
        <f t="shared" si="115"/>
        <v>384295.17405672668</v>
      </c>
      <c r="Q254" s="430">
        <f t="shared" si="115"/>
        <v>357394.71657820407</v>
      </c>
      <c r="R254" s="430">
        <f t="shared" si="115"/>
        <v>331971.88285762753</v>
      </c>
      <c r="S254" s="430">
        <f t="shared" si="115"/>
        <v>307923.25621814252</v>
      </c>
      <c r="T254" s="430">
        <f t="shared" si="115"/>
        <v>285151.08583765733</v>
      </c>
      <c r="U254" s="430">
        <f t="shared" si="115"/>
        <v>263562.89094519668</v>
      </c>
      <c r="V254" s="430">
        <f t="shared" si="115"/>
        <v>243071.0866049857</v>
      </c>
      <c r="W254" s="430">
        <f t="shared" si="115"/>
        <v>223592.62958534883</v>
      </c>
      <c r="X254" s="430">
        <f t="shared" si="115"/>
        <v>205048.68289092439</v>
      </c>
      <c r="Y254" s="430">
        <f t="shared" si="115"/>
        <v>187364.29761248059</v>
      </c>
      <c r="Z254" s="430">
        <f t="shared" si="115"/>
        <v>170591.08947986108</v>
      </c>
      <c r="AA254" s="430">
        <f t="shared" si="115"/>
        <v>154524.15901913273</v>
      </c>
      <c r="AB254" s="430">
        <f t="shared" si="115"/>
        <v>139099.91258407832</v>
      </c>
      <c r="AC254" s="430">
        <f t="shared" si="115"/>
        <v>124257.41244805635</v>
      </c>
    </row>
    <row r="255" spans="3:29" ht="15.75">
      <c r="C255" s="425" t="s">
        <v>186</v>
      </c>
      <c r="D255" s="444">
        <f>SUM(D245:D251)/SUM(D239:D242)</f>
        <v>1.7852713150758603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Z102"/>
  <sheetViews>
    <sheetView topLeftCell="A31" zoomScale="75" zoomScaleNormal="75" workbookViewId="0">
      <selection activeCell="B63" sqref="B63"/>
    </sheetView>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5703125" bestFit="1"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406</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245</v>
      </c>
      <c r="X3" s="72" t="s">
        <v>246</v>
      </c>
      <c r="Y3" s="72" t="s">
        <v>247</v>
      </c>
      <c r="Z3" s="72" t="s">
        <v>248</v>
      </c>
    </row>
    <row r="4" spans="1:26">
      <c r="A4" s="5" t="s">
        <v>367</v>
      </c>
      <c r="B4" s="53"/>
      <c r="G4"/>
      <c r="I4"/>
    </row>
    <row r="5" spans="1:26">
      <c r="A5" s="70" t="s">
        <v>366</v>
      </c>
      <c r="B5" s="70" t="s">
        <v>366</v>
      </c>
      <c r="C5" s="34">
        <v>0</v>
      </c>
      <c r="D5" s="34">
        <f>D66*0.5</f>
        <v>371484.72665564885</v>
      </c>
      <c r="E5" s="34">
        <f t="shared" ref="E5:Z5" si="0">E66</f>
        <v>750782.15880509955</v>
      </c>
      <c r="F5" s="34">
        <f t="shared" si="0"/>
        <v>758594.86429890129</v>
      </c>
      <c r="G5" s="34">
        <f t="shared" si="0"/>
        <v>766407.56979270279</v>
      </c>
      <c r="H5" s="34">
        <f t="shared" si="0"/>
        <v>774220.27528650477</v>
      </c>
      <c r="I5" s="34">
        <f t="shared" si="0"/>
        <v>782032.98078030651</v>
      </c>
      <c r="J5" s="34">
        <f t="shared" si="0"/>
        <v>789845.68627410836</v>
      </c>
      <c r="K5" s="34">
        <f t="shared" si="0"/>
        <v>797658.39176790998</v>
      </c>
      <c r="L5" s="34">
        <f t="shared" si="0"/>
        <v>800088.00043904327</v>
      </c>
      <c r="M5" s="34">
        <f t="shared" si="0"/>
        <v>802517.60911017656</v>
      </c>
      <c r="N5" s="34">
        <f t="shared" si="0"/>
        <v>804947.21778130974</v>
      </c>
      <c r="O5" s="34">
        <f t="shared" si="0"/>
        <v>807376.82645244314</v>
      </c>
      <c r="P5" s="34">
        <f t="shared" si="0"/>
        <v>809806.43512357632</v>
      </c>
      <c r="Q5" s="34">
        <f t="shared" si="0"/>
        <v>812236.04379470961</v>
      </c>
      <c r="R5" s="34">
        <f t="shared" si="0"/>
        <v>814665.6524658429</v>
      </c>
      <c r="S5" s="34">
        <f t="shared" si="0"/>
        <v>817095.26113697619</v>
      </c>
      <c r="T5" s="34">
        <f t="shared" si="0"/>
        <v>819524.86980810936</v>
      </c>
      <c r="U5" s="34">
        <f t="shared" si="0"/>
        <v>821954.47847924277</v>
      </c>
      <c r="V5" s="34">
        <f t="shared" si="0"/>
        <v>824384.08715037594</v>
      </c>
      <c r="W5" s="34">
        <f t="shared" si="0"/>
        <v>826813.69582150923</v>
      </c>
      <c r="X5" s="34">
        <f t="shared" si="0"/>
        <v>829243.30449264252</v>
      </c>
      <c r="Y5" s="34">
        <f t="shared" si="0"/>
        <v>831672.91316377581</v>
      </c>
      <c r="Z5" s="34">
        <f t="shared" si="0"/>
        <v>834102.5218349091</v>
      </c>
    </row>
    <row r="6" spans="1:26">
      <c r="A6" s="70" t="s">
        <v>424</v>
      </c>
      <c r="B6" s="54" t="s">
        <v>425</v>
      </c>
      <c r="C6">
        <f>C68</f>
        <v>0</v>
      </c>
      <c r="D6" s="34">
        <f>D68*0.5</f>
        <v>22289.08359933893</v>
      </c>
      <c r="E6" s="34">
        <f t="shared" ref="E6:Z7" si="1">E68</f>
        <v>45046.929528305969</v>
      </c>
      <c r="F6" s="34">
        <f t="shared" si="1"/>
        <v>45515.691857934078</v>
      </c>
      <c r="G6" s="34">
        <f t="shared" si="1"/>
        <v>45984.454187562165</v>
      </c>
      <c r="H6" s="34">
        <f t="shared" si="1"/>
        <v>46453.216517190282</v>
      </c>
      <c r="I6" s="34">
        <f t="shared" si="1"/>
        <v>46921.978846818391</v>
      </c>
      <c r="J6" s="34">
        <f t="shared" si="1"/>
        <v>47390.7411764465</v>
      </c>
      <c r="K6" s="34">
        <f t="shared" si="1"/>
        <v>47859.503506074594</v>
      </c>
      <c r="L6" s="34">
        <f t="shared" si="1"/>
        <v>48005.280026342596</v>
      </c>
      <c r="M6" s="34">
        <f t="shared" si="1"/>
        <v>48151.056546610591</v>
      </c>
      <c r="N6" s="34">
        <f t="shared" si="1"/>
        <v>48296.833066878586</v>
      </c>
      <c r="O6" s="34">
        <f t="shared" si="1"/>
        <v>48442.609587146588</v>
      </c>
      <c r="P6" s="34">
        <f t="shared" si="1"/>
        <v>48588.386107414575</v>
      </c>
      <c r="Q6" s="34">
        <f t="shared" si="1"/>
        <v>48734.162627682577</v>
      </c>
      <c r="R6" s="34">
        <f t="shared" si="1"/>
        <v>48879.939147950572</v>
      </c>
      <c r="S6" s="34">
        <f t="shared" si="1"/>
        <v>49025.715668218567</v>
      </c>
      <c r="T6" s="34">
        <f t="shared" si="1"/>
        <v>49171.492188486562</v>
      </c>
      <c r="U6" s="34">
        <f t="shared" si="1"/>
        <v>49317.268708754564</v>
      </c>
      <c r="V6" s="34">
        <f t="shared" si="1"/>
        <v>49463.045229022551</v>
      </c>
      <c r="W6" s="34">
        <f t="shared" si="1"/>
        <v>49608.821749290553</v>
      </c>
      <c r="X6" s="34">
        <f t="shared" si="1"/>
        <v>49754.598269558548</v>
      </c>
      <c r="Y6" s="34">
        <f t="shared" si="1"/>
        <v>49900.37478982655</v>
      </c>
      <c r="Z6" s="34">
        <f t="shared" si="1"/>
        <v>50046.151310094545</v>
      </c>
    </row>
    <row r="7" spans="1:26">
      <c r="A7" s="70"/>
      <c r="B7" s="78" t="s">
        <v>418</v>
      </c>
      <c r="C7">
        <f>C69</f>
        <v>0</v>
      </c>
      <c r="D7" s="34">
        <f>D69*0.5</f>
        <v>14859.389066225955</v>
      </c>
      <c r="E7" s="34">
        <f t="shared" si="1"/>
        <v>30031.286352203984</v>
      </c>
      <c r="F7" s="34">
        <f t="shared" si="1"/>
        <v>30343.794571956052</v>
      </c>
      <c r="G7" s="34">
        <f t="shared" si="1"/>
        <v>30656.302791708113</v>
      </c>
      <c r="H7" s="34">
        <f t="shared" si="1"/>
        <v>30968.811011460191</v>
      </c>
      <c r="I7" s="34">
        <f t="shared" si="1"/>
        <v>31281.319231212259</v>
      </c>
      <c r="J7" s="34">
        <f t="shared" si="1"/>
        <v>31593.827450964334</v>
      </c>
      <c r="K7" s="34">
        <f t="shared" si="1"/>
        <v>31906.335670716398</v>
      </c>
      <c r="L7" s="34">
        <f t="shared" si="1"/>
        <v>32003.520017561732</v>
      </c>
      <c r="M7" s="34">
        <f t="shared" si="1"/>
        <v>32100.704364407062</v>
      </c>
      <c r="N7" s="34">
        <f t="shared" si="1"/>
        <v>32197.888711252392</v>
      </c>
      <c r="O7" s="34">
        <f t="shared" si="1"/>
        <v>32295.073058097725</v>
      </c>
      <c r="P7" s="34">
        <f t="shared" si="1"/>
        <v>32392.257404943055</v>
      </c>
      <c r="Q7" s="34">
        <f t="shared" si="1"/>
        <v>32489.441751788385</v>
      </c>
      <c r="R7" s="34">
        <f t="shared" si="1"/>
        <v>32586.626098633718</v>
      </c>
      <c r="S7" s="34">
        <f t="shared" si="1"/>
        <v>32683.810445479048</v>
      </c>
      <c r="T7" s="34">
        <f t="shared" si="1"/>
        <v>32780.994792324374</v>
      </c>
      <c r="U7" s="34">
        <f t="shared" si="1"/>
        <v>32878.179139169712</v>
      </c>
      <c r="V7" s="34">
        <f t="shared" si="1"/>
        <v>32975.363486015041</v>
      </c>
      <c r="W7" s="34">
        <f t="shared" si="1"/>
        <v>33072.547832860371</v>
      </c>
      <c r="X7" s="34">
        <f t="shared" si="1"/>
        <v>33169.732179705701</v>
      </c>
      <c r="Y7" s="34">
        <f t="shared" si="1"/>
        <v>33266.916526551031</v>
      </c>
      <c r="Z7" s="34">
        <f t="shared" si="1"/>
        <v>33364.100873396368</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277</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366</v>
      </c>
      <c r="B11" s="70" t="s">
        <v>366</v>
      </c>
      <c r="C11" s="208">
        <v>0</v>
      </c>
      <c r="D11" s="34">
        <f>D75*0.5</f>
        <v>2319.0720000000001</v>
      </c>
      <c r="E11" s="34">
        <f t="shared" ref="E11:Z11" si="2">E75</f>
        <v>5272.6420992000003</v>
      </c>
      <c r="F11" s="34">
        <f t="shared" si="2"/>
        <v>5993.9395383705605</v>
      </c>
      <c r="G11" s="34">
        <f t="shared" si="2"/>
        <v>6813.9104672196536</v>
      </c>
      <c r="H11" s="34">
        <f t="shared" si="2"/>
        <v>7746.0534191353017</v>
      </c>
      <c r="I11" s="34">
        <f t="shared" si="2"/>
        <v>8805.7135268730108</v>
      </c>
      <c r="J11" s="34">
        <f t="shared" si="2"/>
        <v>10010.335137349241</v>
      </c>
      <c r="K11" s="34">
        <f t="shared" si="2"/>
        <v>11379.748984138616</v>
      </c>
      <c r="L11" s="34">
        <f t="shared" si="2"/>
        <v>12936.49864516878</v>
      </c>
      <c r="M11" s="34">
        <f t="shared" si="2"/>
        <v>14706.21165982787</v>
      </c>
      <c r="N11" s="34">
        <f t="shared" si="2"/>
        <v>16718.021414892322</v>
      </c>
      <c r="O11" s="34">
        <f t="shared" si="2"/>
        <v>19005.046744449592</v>
      </c>
      <c r="P11" s="34">
        <f t="shared" si="2"/>
        <v>21604.937139090296</v>
      </c>
      <c r="Q11" s="34">
        <f t="shared" si="2"/>
        <v>24560.492539717852</v>
      </c>
      <c r="R11" s="34">
        <f t="shared" si="2"/>
        <v>27920.367919151257</v>
      </c>
      <c r="S11" s="34">
        <f t="shared" si="2"/>
        <v>31739.87425049115</v>
      </c>
      <c r="T11" s="34">
        <f t="shared" si="2"/>
        <v>36081.889047958342</v>
      </c>
      <c r="U11" s="34">
        <f t="shared" si="2"/>
        <v>41017.891469719048</v>
      </c>
      <c r="V11" s="34">
        <f t="shared" si="2"/>
        <v>46629.13902277661</v>
      </c>
      <c r="W11" s="34">
        <f t="shared" si="2"/>
        <v>53008.005241092455</v>
      </c>
      <c r="X11" s="34">
        <f t="shared" si="2"/>
        <v>60259.500358073907</v>
      </c>
      <c r="Y11" s="34">
        <f t="shared" si="2"/>
        <v>68503.000007058406</v>
      </c>
      <c r="Z11" s="34">
        <f t="shared" si="2"/>
        <v>77874.210408023995</v>
      </c>
    </row>
    <row r="12" spans="1:26">
      <c r="A12" s="70" t="s">
        <v>415</v>
      </c>
      <c r="B12" s="54" t="s">
        <v>433</v>
      </c>
      <c r="C12">
        <f>C77</f>
        <v>0</v>
      </c>
      <c r="D12" s="34">
        <f>D77*0.5</f>
        <v>115.95360000000001</v>
      </c>
      <c r="E12" s="34">
        <f t="shared" ref="E12:Z13" si="3">E77</f>
        <v>263.63210496000005</v>
      </c>
      <c r="F12" s="34">
        <f t="shared" si="3"/>
        <v>299.69697691852804</v>
      </c>
      <c r="G12" s="34">
        <f t="shared" si="3"/>
        <v>340.69552336098269</v>
      </c>
      <c r="H12" s="34">
        <f t="shared" si="3"/>
        <v>387.3026709567651</v>
      </c>
      <c r="I12" s="34">
        <f t="shared" si="3"/>
        <v>440.28567634365055</v>
      </c>
      <c r="J12" s="34">
        <f t="shared" si="3"/>
        <v>500.51675686746205</v>
      </c>
      <c r="K12" s="34">
        <f t="shared" si="3"/>
        <v>568.98744920693082</v>
      </c>
      <c r="L12" s="34">
        <f t="shared" si="3"/>
        <v>646.82493225843905</v>
      </c>
      <c r="M12" s="34">
        <f t="shared" si="3"/>
        <v>735.31058299139352</v>
      </c>
      <c r="N12" s="34">
        <f t="shared" si="3"/>
        <v>835.90107074461616</v>
      </c>
      <c r="O12" s="34">
        <f t="shared" si="3"/>
        <v>950.25233722247958</v>
      </c>
      <c r="P12" s="34">
        <f t="shared" si="3"/>
        <v>1080.2468569545149</v>
      </c>
      <c r="Q12" s="34">
        <f t="shared" si="3"/>
        <v>1228.0246269858926</v>
      </c>
      <c r="R12" s="34">
        <f t="shared" si="3"/>
        <v>1396.0183959575629</v>
      </c>
      <c r="S12" s="34">
        <f t="shared" si="3"/>
        <v>1586.9937125245576</v>
      </c>
      <c r="T12" s="34">
        <f t="shared" si="3"/>
        <v>1804.0944523979172</v>
      </c>
      <c r="U12" s="34">
        <f t="shared" si="3"/>
        <v>2050.8945734859526</v>
      </c>
      <c r="V12" s="34">
        <f t="shared" si="3"/>
        <v>2331.4569511388304</v>
      </c>
      <c r="W12" s="34">
        <f t="shared" si="3"/>
        <v>2650.400262054623</v>
      </c>
      <c r="X12" s="34">
        <f t="shared" si="3"/>
        <v>3012.9750179036955</v>
      </c>
      <c r="Y12" s="34">
        <f t="shared" si="3"/>
        <v>3425.1500003529204</v>
      </c>
      <c r="Z12" s="34">
        <f t="shared" si="3"/>
        <v>3893.7105204012</v>
      </c>
    </row>
    <row r="13" spans="1:26">
      <c r="A13" s="70"/>
      <c r="B13" s="78" t="s">
        <v>427</v>
      </c>
      <c r="C13">
        <f>C78</f>
        <v>0</v>
      </c>
      <c r="D13" s="34">
        <f>D78*0.5</f>
        <v>92.76288000000001</v>
      </c>
      <c r="E13" s="34">
        <f t="shared" si="3"/>
        <v>210.90568396800001</v>
      </c>
      <c r="F13" s="34">
        <f t="shared" si="3"/>
        <v>239.75758153482244</v>
      </c>
      <c r="G13" s="34">
        <f t="shared" si="3"/>
        <v>272.55641868878615</v>
      </c>
      <c r="H13" s="34">
        <f t="shared" si="3"/>
        <v>309.84213676541208</v>
      </c>
      <c r="I13" s="34">
        <f t="shared" si="3"/>
        <v>352.22854107492043</v>
      </c>
      <c r="J13" s="34">
        <f t="shared" si="3"/>
        <v>400.41340549396961</v>
      </c>
      <c r="K13" s="34">
        <f t="shared" si="3"/>
        <v>455.18995936554467</v>
      </c>
      <c r="L13" s="34">
        <f t="shared" si="3"/>
        <v>517.45994580675119</v>
      </c>
      <c r="M13" s="34">
        <f t="shared" si="3"/>
        <v>588.24846639311477</v>
      </c>
      <c r="N13" s="34">
        <f t="shared" si="3"/>
        <v>668.72085659569291</v>
      </c>
      <c r="O13" s="34">
        <f t="shared" si="3"/>
        <v>760.20186977798369</v>
      </c>
      <c r="P13" s="34">
        <f t="shared" si="3"/>
        <v>864.19748556361185</v>
      </c>
      <c r="Q13" s="34">
        <f t="shared" si="3"/>
        <v>982.41970158871413</v>
      </c>
      <c r="R13" s="34">
        <f t="shared" si="3"/>
        <v>1116.8147167660502</v>
      </c>
      <c r="S13" s="34">
        <f t="shared" si="3"/>
        <v>1269.5949700196461</v>
      </c>
      <c r="T13" s="34">
        <f t="shared" si="3"/>
        <v>1443.2755619183338</v>
      </c>
      <c r="U13" s="34">
        <f t="shared" si="3"/>
        <v>1640.7156587887621</v>
      </c>
      <c r="V13" s="34">
        <f t="shared" si="3"/>
        <v>1865.1655609110644</v>
      </c>
      <c r="W13" s="34">
        <f t="shared" si="3"/>
        <v>2120.320209643698</v>
      </c>
      <c r="X13" s="34">
        <f t="shared" si="3"/>
        <v>2410.3800143229564</v>
      </c>
      <c r="Y13" s="34">
        <f t="shared" si="3"/>
        <v>2740.1200002823362</v>
      </c>
      <c r="Z13" s="34">
        <f t="shared" si="3"/>
        <v>3114.9684163209599</v>
      </c>
    </row>
    <row r="14" spans="1:26">
      <c r="A14" s="70"/>
      <c r="B14" s="48"/>
      <c r="G14"/>
      <c r="I14"/>
    </row>
    <row r="15" spans="1:26">
      <c r="A15" s="70"/>
      <c r="B15" s="53"/>
      <c r="G15"/>
      <c r="I15"/>
    </row>
    <row r="16" spans="1:26">
      <c r="A16" s="5" t="s">
        <v>369</v>
      </c>
      <c r="B16" s="53"/>
      <c r="G16"/>
      <c r="I16"/>
    </row>
    <row r="17" spans="1:26">
      <c r="A17" s="5"/>
      <c r="B17" s="270" t="s">
        <v>606</v>
      </c>
      <c r="C17" s="208">
        <v>0</v>
      </c>
      <c r="E17" s="34">
        <f t="shared" ref="E17:Z17" si="4">SUM(E55:E58)*$B$66</f>
        <v>3173952.7897029128</v>
      </c>
      <c r="F17" s="34">
        <f t="shared" si="4"/>
        <v>3206981.2229259997</v>
      </c>
      <c r="G17" s="34">
        <f t="shared" si="4"/>
        <v>3240009.6561490861</v>
      </c>
      <c r="H17" s="34">
        <f t="shared" si="4"/>
        <v>3273038.0893721734</v>
      </c>
      <c r="I17" s="34">
        <f t="shared" si="4"/>
        <v>3306066.5225952608</v>
      </c>
      <c r="J17" s="34">
        <f t="shared" si="4"/>
        <v>3339094.9558183476</v>
      </c>
      <c r="K17" s="34">
        <f t="shared" si="4"/>
        <v>3372123.389041435</v>
      </c>
      <c r="L17" s="34">
        <f t="shared" si="4"/>
        <v>3382394.6283472576</v>
      </c>
      <c r="M17" s="34">
        <f t="shared" si="4"/>
        <v>3392665.8676530812</v>
      </c>
      <c r="N17" s="34">
        <f t="shared" si="4"/>
        <v>3402937.1069589048</v>
      </c>
      <c r="O17" s="34">
        <f t="shared" si="4"/>
        <v>3413208.3462647279</v>
      </c>
      <c r="P17" s="34">
        <f t="shared" si="4"/>
        <v>3423479.585570551</v>
      </c>
      <c r="Q17" s="34">
        <f t="shared" si="4"/>
        <v>3433750.8248763746</v>
      </c>
      <c r="R17" s="34">
        <f t="shared" si="4"/>
        <v>3444022.0641821977</v>
      </c>
      <c r="S17" s="34">
        <f t="shared" si="4"/>
        <v>3454293.3034880208</v>
      </c>
      <c r="T17" s="34">
        <f t="shared" si="4"/>
        <v>3464564.5427938444</v>
      </c>
      <c r="U17" s="34">
        <f t="shared" si="4"/>
        <v>3474835.7820996684</v>
      </c>
      <c r="V17" s="34">
        <f t="shared" si="4"/>
        <v>3485107.0214054915</v>
      </c>
      <c r="W17" s="34">
        <f t="shared" si="4"/>
        <v>3495378.2607113146</v>
      </c>
      <c r="X17" s="34">
        <f t="shared" si="4"/>
        <v>3505649.5000171377</v>
      </c>
      <c r="Y17" s="34">
        <f t="shared" si="4"/>
        <v>3515920.7393229613</v>
      </c>
      <c r="Z17" s="34">
        <f t="shared" si="4"/>
        <v>3526191.9786287849</v>
      </c>
    </row>
    <row r="18" spans="1:26">
      <c r="A18" s="70" t="s">
        <v>370</v>
      </c>
      <c r="B18" s="70" t="s">
        <v>366</v>
      </c>
      <c r="C18" s="298"/>
      <c r="D18" s="34">
        <f>SUM(D55:D58)*$B$66</f>
        <v>3140924.3564798255</v>
      </c>
      <c r="E18" s="298"/>
      <c r="F18" s="298"/>
      <c r="G18" s="298"/>
      <c r="H18" s="298"/>
      <c r="I18" s="298"/>
      <c r="J18" s="298"/>
      <c r="K18" s="298"/>
      <c r="L18" s="298"/>
      <c r="M18" s="298"/>
      <c r="N18" s="298"/>
      <c r="O18" s="298"/>
      <c r="P18" s="298"/>
      <c r="Q18" s="298"/>
      <c r="R18" s="298"/>
      <c r="S18" s="298"/>
      <c r="T18" s="298"/>
      <c r="U18" s="298"/>
      <c r="V18" s="298"/>
      <c r="W18" s="298"/>
      <c r="X18" s="298"/>
      <c r="Y18" s="298"/>
      <c r="Z18" s="298"/>
    </row>
    <row r="19" spans="1:26">
      <c r="A19" s="70"/>
      <c r="B19" s="70" t="s">
        <v>529</v>
      </c>
      <c r="C19" s="298">
        <f>0.5*C26</f>
        <v>0</v>
      </c>
      <c r="D19" s="298">
        <f>0.5*D26</f>
        <v>-11202.518599669465</v>
      </c>
      <c r="E19" s="298">
        <f>0.5*E26</f>
        <v>-22655.280816632985</v>
      </c>
      <c r="F19" s="298">
        <f>0.5*F26</f>
        <v>-22907.694417426304</v>
      </c>
      <c r="G19" s="298">
        <f t="shared" ref="G19:Z19" si="5">0.5*G26</f>
        <v>-23162.574855461575</v>
      </c>
      <c r="H19" s="298">
        <f t="shared" si="5"/>
        <v>-23420.259594073523</v>
      </c>
      <c r="I19" s="298">
        <f t="shared" si="5"/>
        <v>-23681.13226158102</v>
      </c>
      <c r="J19" s="298">
        <f t="shared" si="5"/>
        <v>-23945.628966656979</v>
      </c>
      <c r="K19" s="298">
        <f t="shared" si="5"/>
        <v>-24214.245477640761</v>
      </c>
      <c r="L19" s="298">
        <f t="shared" si="5"/>
        <v>-24326.052479300517</v>
      </c>
      <c r="M19" s="298">
        <f t="shared" si="5"/>
        <v>-24443.183564800991</v>
      </c>
      <c r="N19" s="298">
        <f t="shared" si="5"/>
        <v>-24566.3670688116</v>
      </c>
      <c r="O19" s="298">
        <f t="shared" si="5"/>
        <v>-24696.430962184535</v>
      </c>
      <c r="P19" s="298">
        <f t="shared" si="5"/>
        <v>-24834.316482184546</v>
      </c>
      <c r="Q19" s="298">
        <f t="shared" si="5"/>
        <v>-24981.093627334234</v>
      </c>
      <c r="R19" s="298">
        <f t="shared" si="5"/>
        <v>-25137.978771954069</v>
      </c>
      <c r="S19" s="298">
        <f t="shared" si="5"/>
        <v>-25306.354690371561</v>
      </c>
      <c r="T19" s="298">
        <f t="shared" si="5"/>
        <v>-25487.793320442241</v>
      </c>
      <c r="U19" s="298">
        <f t="shared" si="5"/>
        <v>-25684.081641120258</v>
      </c>
      <c r="V19" s="298">
        <f t="shared" si="5"/>
        <v>-25897.251090080692</v>
      </c>
      <c r="W19" s="298">
        <f t="shared" si="5"/>
        <v>-26129.611005672588</v>
      </c>
      <c r="X19" s="298">
        <f t="shared" si="5"/>
        <v>-26383.78664373112</v>
      </c>
      <c r="Y19" s="298">
        <f t="shared" si="5"/>
        <v>-26662.762395089736</v>
      </c>
      <c r="Z19" s="298">
        <f t="shared" si="5"/>
        <v>-26969.930915247871</v>
      </c>
    </row>
    <row r="20" spans="1:26">
      <c r="A20" s="70" t="s">
        <v>371</v>
      </c>
      <c r="B20" s="70" t="s">
        <v>366</v>
      </c>
      <c r="C20" s="298"/>
      <c r="D20" s="298">
        <v>0</v>
      </c>
      <c r="E20" s="298">
        <f>(E17)+E19</f>
        <v>3151297.50888628</v>
      </c>
      <c r="F20" s="298">
        <f t="shared" ref="F20:Z20" si="6">(F17)+F19</f>
        <v>3184073.5285085733</v>
      </c>
      <c r="G20" s="298">
        <f t="shared" si="6"/>
        <v>3216847.0812936244</v>
      </c>
      <c r="H20" s="298">
        <f t="shared" si="6"/>
        <v>3249617.8297780999</v>
      </c>
      <c r="I20" s="298">
        <f t="shared" si="6"/>
        <v>3282385.3903336795</v>
      </c>
      <c r="J20" s="298">
        <f t="shared" si="6"/>
        <v>3315149.3268516907</v>
      </c>
      <c r="K20" s="298">
        <f t="shared" si="6"/>
        <v>3347909.1435637944</v>
      </c>
      <c r="L20" s="298">
        <f t="shared" si="6"/>
        <v>3358068.575867957</v>
      </c>
      <c r="M20" s="298">
        <f t="shared" si="6"/>
        <v>3368222.6840882804</v>
      </c>
      <c r="N20" s="298">
        <f t="shared" si="6"/>
        <v>3378370.739890093</v>
      </c>
      <c r="O20" s="298">
        <f t="shared" si="6"/>
        <v>3388511.9153025434</v>
      </c>
      <c r="P20" s="298">
        <f t="shared" si="6"/>
        <v>3398645.2690883665</v>
      </c>
      <c r="Q20" s="298">
        <f t="shared" si="6"/>
        <v>3408769.7312490405</v>
      </c>
      <c r="R20" s="298">
        <f t="shared" si="6"/>
        <v>3418884.0854102438</v>
      </c>
      <c r="S20" s="298">
        <f t="shared" si="6"/>
        <v>3428986.9487976492</v>
      </c>
      <c r="T20" s="298">
        <f t="shared" si="6"/>
        <v>3439076.7494734023</v>
      </c>
      <c r="U20" s="298">
        <f t="shared" si="6"/>
        <v>3449151.700458548</v>
      </c>
      <c r="V20" s="298">
        <f t="shared" si="6"/>
        <v>3459209.770315411</v>
      </c>
      <c r="W20" s="298">
        <f t="shared" si="6"/>
        <v>3469248.6497056419</v>
      </c>
      <c r="X20" s="298">
        <f t="shared" si="6"/>
        <v>3479265.7133734068</v>
      </c>
      <c r="Y20" s="298">
        <f t="shared" si="6"/>
        <v>3489257.9769278714</v>
      </c>
      <c r="Z20" s="298">
        <f t="shared" si="6"/>
        <v>3499222.0477135372</v>
      </c>
    </row>
    <row r="21" spans="1:26">
      <c r="G21"/>
      <c r="I21"/>
    </row>
    <row r="22" spans="1:26">
      <c r="A22" s="70"/>
      <c r="G22"/>
      <c r="I22"/>
    </row>
    <row r="23" spans="1:26">
      <c r="A23" s="70"/>
      <c r="B23" s="58" t="s">
        <v>436</v>
      </c>
      <c r="G23"/>
      <c r="I23"/>
    </row>
    <row r="24" spans="1:26">
      <c r="B24" s="78" t="s">
        <v>505</v>
      </c>
      <c r="C24" s="298">
        <f>C6+C7+C12+C13</f>
        <v>0</v>
      </c>
      <c r="D24" s="298">
        <f t="shared" ref="D24:Z24" si="7">D6+D7+D12+D13</f>
        <v>37357.189145564887</v>
      </c>
      <c r="E24" s="298">
        <f t="shared" si="7"/>
        <v>75552.753669437952</v>
      </c>
      <c r="F24" s="298">
        <f t="shared" si="7"/>
        <v>76398.940988343471</v>
      </c>
      <c r="G24" s="298">
        <f t="shared" si="7"/>
        <v>77254.008921320055</v>
      </c>
      <c r="H24" s="298">
        <f t="shared" si="7"/>
        <v>78119.172336372649</v>
      </c>
      <c r="I24" s="298">
        <f t="shared" si="7"/>
        <v>78995.812295449228</v>
      </c>
      <c r="J24" s="298">
        <f t="shared" si="7"/>
        <v>79885.49878977226</v>
      </c>
      <c r="K24" s="298">
        <f t="shared" si="7"/>
        <v>80790.016585363468</v>
      </c>
      <c r="L24" s="298">
        <f t="shared" si="7"/>
        <v>81173.084921969523</v>
      </c>
      <c r="M24" s="298">
        <f t="shared" si="7"/>
        <v>81575.319960402165</v>
      </c>
      <c r="N24" s="298">
        <f t="shared" si="7"/>
        <v>81999.343705471285</v>
      </c>
      <c r="O24" s="298">
        <f t="shared" si="7"/>
        <v>82448.136852244788</v>
      </c>
      <c r="P24" s="298">
        <f t="shared" si="7"/>
        <v>82925.087854875761</v>
      </c>
      <c r="Q24" s="298">
        <f t="shared" si="7"/>
        <v>83434.048708045564</v>
      </c>
      <c r="R24" s="298">
        <f t="shared" si="7"/>
        <v>83979.398359307903</v>
      </c>
      <c r="S24" s="298">
        <f t="shared" si="7"/>
        <v>84566.114796241833</v>
      </c>
      <c r="T24" s="298">
        <f t="shared" si="7"/>
        <v>85199.856995127178</v>
      </c>
      <c r="U24" s="298">
        <f t="shared" si="7"/>
        <v>85887.058080199</v>
      </c>
      <c r="V24" s="298">
        <f t="shared" si="7"/>
        <v>86635.031227087486</v>
      </c>
      <c r="W24" s="298">
        <f t="shared" si="7"/>
        <v>87452.090053849242</v>
      </c>
      <c r="X24" s="298">
        <f t="shared" si="7"/>
        <v>88347.685481490902</v>
      </c>
      <c r="Y24" s="298">
        <f t="shared" si="7"/>
        <v>89332.561317012834</v>
      </c>
      <c r="Z24" s="298">
        <f t="shared" si="7"/>
        <v>90418.931120213078</v>
      </c>
    </row>
    <row r="25" spans="1:26">
      <c r="B25" s="78" t="s">
        <v>506</v>
      </c>
      <c r="C25" s="418"/>
      <c r="D25" s="298"/>
      <c r="E25" s="298">
        <f>-E24*$A$57</f>
        <v>-37747.310735189021</v>
      </c>
      <c r="F25" s="298">
        <f t="shared" ref="F25:Z25" si="8">-F24*$A$57</f>
        <v>-38170.078855682077</v>
      </c>
      <c r="G25" s="298">
        <f t="shared" si="8"/>
        <v>-38597.283866726153</v>
      </c>
      <c r="H25" s="298">
        <f t="shared" si="8"/>
        <v>-39029.532734948647</v>
      </c>
      <c r="I25" s="298">
        <f t="shared" si="8"/>
        <v>-39467.515460011557</v>
      </c>
      <c r="J25" s="298">
        <f t="shared" si="8"/>
        <v>-39912.01643353064</v>
      </c>
      <c r="K25" s="298">
        <f t="shared" si="8"/>
        <v>-40363.927351894701</v>
      </c>
      <c r="L25" s="298">
        <f t="shared" si="8"/>
        <v>-40555.314148965605</v>
      </c>
      <c r="M25" s="298">
        <f t="shared" si="8"/>
        <v>-40756.276923277292</v>
      </c>
      <c r="N25" s="298">
        <f t="shared" si="8"/>
        <v>-40968.125668516303</v>
      </c>
      <c r="O25" s="298">
        <f t="shared" si="8"/>
        <v>-41192.349585505523</v>
      </c>
      <c r="P25" s="298">
        <f t="shared" si="8"/>
        <v>-41430.64159774033</v>
      </c>
      <c r="Q25" s="298">
        <f t="shared" si="8"/>
        <v>-41684.926220650363</v>
      </c>
      <c r="R25" s="298">
        <f t="shared" si="8"/>
        <v>-41957.391243375976</v>
      </c>
      <c r="S25" s="298">
        <f t="shared" si="8"/>
        <v>-42250.523744611957</v>
      </c>
      <c r="T25" s="298">
        <f t="shared" si="8"/>
        <v>-42567.151035418487</v>
      </c>
      <c r="U25" s="298">
        <f t="shared" si="8"/>
        <v>-42910.487203008866</v>
      </c>
      <c r="V25" s="298">
        <f t="shared" si="8"/>
        <v>-43284.186021727073</v>
      </c>
      <c r="W25" s="298">
        <f t="shared" si="8"/>
        <v>-43692.401102247444</v>
      </c>
      <c r="X25" s="298">
        <f t="shared" si="8"/>
        <v>-44139.854269184485</v>
      </c>
      <c r="Y25" s="298">
        <f t="shared" si="8"/>
        <v>-44631.91329276</v>
      </c>
      <c r="Z25" s="298">
        <f t="shared" si="8"/>
        <v>-45174.680254162151</v>
      </c>
    </row>
    <row r="26" spans="1:26">
      <c r="B26" s="78" t="s">
        <v>507</v>
      </c>
      <c r="C26" s="298">
        <f>-(C6+C12)</f>
        <v>0</v>
      </c>
      <c r="D26" s="298">
        <f t="shared" ref="D26:Z26" si="9">-(D6+D12)</f>
        <v>-22405.037199338931</v>
      </c>
      <c r="E26" s="298">
        <f t="shared" si="9"/>
        <v>-45310.56163326597</v>
      </c>
      <c r="F26" s="298">
        <f t="shared" si="9"/>
        <v>-45815.388834852609</v>
      </c>
      <c r="G26" s="298">
        <f t="shared" si="9"/>
        <v>-46325.14971092315</v>
      </c>
      <c r="H26" s="298">
        <f t="shared" si="9"/>
        <v>-46840.519188147045</v>
      </c>
      <c r="I26" s="298">
        <f t="shared" si="9"/>
        <v>-47362.264523162041</v>
      </c>
      <c r="J26" s="298">
        <f t="shared" si="9"/>
        <v>-47891.257933313958</v>
      </c>
      <c r="K26" s="298">
        <f t="shared" si="9"/>
        <v>-48428.490955281522</v>
      </c>
      <c r="L26" s="298">
        <f t="shared" si="9"/>
        <v>-48652.104958601034</v>
      </c>
      <c r="M26" s="298">
        <f t="shared" si="9"/>
        <v>-48886.367129601982</v>
      </c>
      <c r="N26" s="298">
        <f t="shared" si="9"/>
        <v>-49132.7341376232</v>
      </c>
      <c r="O26" s="298">
        <f t="shared" si="9"/>
        <v>-49392.86192436907</v>
      </c>
      <c r="P26" s="298">
        <f t="shared" si="9"/>
        <v>-49668.632964369091</v>
      </c>
      <c r="Q26" s="298">
        <f t="shared" si="9"/>
        <v>-49962.187254668468</v>
      </c>
      <c r="R26" s="298">
        <f t="shared" si="9"/>
        <v>-50275.957543908138</v>
      </c>
      <c r="S26" s="298">
        <f t="shared" si="9"/>
        <v>-50612.709380743123</v>
      </c>
      <c r="T26" s="298">
        <f t="shared" si="9"/>
        <v>-50975.586640884481</v>
      </c>
      <c r="U26" s="298">
        <f t="shared" si="9"/>
        <v>-51368.163282240515</v>
      </c>
      <c r="V26" s="298">
        <f t="shared" si="9"/>
        <v>-51794.502180161384</v>
      </c>
      <c r="W26" s="298">
        <f t="shared" si="9"/>
        <v>-52259.222011345177</v>
      </c>
      <c r="X26" s="298">
        <f t="shared" si="9"/>
        <v>-52767.573287462241</v>
      </c>
      <c r="Y26" s="298">
        <f t="shared" si="9"/>
        <v>-53325.524790179472</v>
      </c>
      <c r="Z26" s="298">
        <f t="shared" si="9"/>
        <v>-53939.861830495742</v>
      </c>
    </row>
    <row r="27" spans="1:26">
      <c r="B27" s="78" t="s">
        <v>508</v>
      </c>
      <c r="C27" s="298">
        <f>-('Mode Operating Assumptions'!$C$27*(C6+C12))</f>
        <v>0</v>
      </c>
      <c r="D27" s="298">
        <f>-('Mode Operating Assumptions'!$C$27*(D6+D12))</f>
        <v>-145632.74179570304</v>
      </c>
      <c r="E27" s="298">
        <f>-('Mode Operating Assumptions'!$C$27*(E6+E12))</f>
        <v>-294518.65061622881</v>
      </c>
      <c r="F27" s="298">
        <f>-('Mode Operating Assumptions'!$C$27*(F6+F12))</f>
        <v>-297800.02742654196</v>
      </c>
      <c r="G27" s="298">
        <f>-('Mode Operating Assumptions'!$C$27*(G6+G12))</f>
        <v>-301113.47312100045</v>
      </c>
      <c r="H27" s="298">
        <f>-('Mode Operating Assumptions'!$C$27*(H6+H12))</f>
        <v>-304463.37472295581</v>
      </c>
      <c r="I27" s="298">
        <f>-('Mode Operating Assumptions'!$C$27*(I6+I12))</f>
        <v>-307854.71940055327</v>
      </c>
      <c r="J27" s="298">
        <f>-('Mode Operating Assumptions'!$C$27*(J6+J12))</f>
        <v>-311293.17656654073</v>
      </c>
      <c r="K27" s="298">
        <f>-('Mode Operating Assumptions'!$C$27*(K6+K12))</f>
        <v>-314785.19120932987</v>
      </c>
      <c r="L27" s="298">
        <f>-('Mode Operating Assumptions'!$C$27*(L6+L12))</f>
        <v>-316238.68223090674</v>
      </c>
      <c r="M27" s="298">
        <f>-('Mode Operating Assumptions'!$C$27*(M6+M12))</f>
        <v>-317761.38634241291</v>
      </c>
      <c r="N27" s="298">
        <f>-('Mode Operating Assumptions'!$C$27*(N6+N12))</f>
        <v>-319362.77189455082</v>
      </c>
      <c r="O27" s="298">
        <f>-('Mode Operating Assumptions'!$C$27*(O6+O12))</f>
        <v>-321053.60250839894</v>
      </c>
      <c r="P27" s="298">
        <f>-('Mode Operating Assumptions'!$C$27*(P6+P12))</f>
        <v>-322846.11426839908</v>
      </c>
      <c r="Q27" s="298">
        <f>-('Mode Operating Assumptions'!$C$27*(Q6+Q12))</f>
        <v>-324754.21715534502</v>
      </c>
      <c r="R27" s="298">
        <f>-('Mode Operating Assumptions'!$C$27*(R6+R12))</f>
        <v>-326793.72403540288</v>
      </c>
      <c r="S27" s="298">
        <f>-('Mode Operating Assumptions'!$C$27*(S6+S12))</f>
        <v>-328982.61097483028</v>
      </c>
      <c r="T27" s="298">
        <f>-('Mode Operating Assumptions'!$C$27*(T6+T12))</f>
        <v>-331341.31316574913</v>
      </c>
      <c r="U27" s="298">
        <f>-('Mode Operating Assumptions'!$C$27*(U6+U12))</f>
        <v>-333893.06133456336</v>
      </c>
      <c r="V27" s="298">
        <f>-('Mode Operating Assumptions'!$C$27*(V6+V12))</f>
        <v>-336664.264171049</v>
      </c>
      <c r="W27" s="298">
        <f>-('Mode Operating Assumptions'!$C$27*(W6+W12))</f>
        <v>-339684.94307374366</v>
      </c>
      <c r="X27" s="298">
        <f>-('Mode Operating Assumptions'!$C$27*(X6+X12))</f>
        <v>-342989.22636850458</v>
      </c>
      <c r="Y27" s="298">
        <f>-('Mode Operating Assumptions'!$C$27*(Y6+Y12))</f>
        <v>-346615.91113616654</v>
      </c>
      <c r="Z27" s="298">
        <f>-('Mode Operating Assumptions'!$C$27*(Z6+Z12))</f>
        <v>-350609.10189822235</v>
      </c>
    </row>
    <row r="28" spans="1:26">
      <c r="A28" s="70"/>
      <c r="B28" s="54" t="s">
        <v>509</v>
      </c>
      <c r="C28" s="246">
        <f>-(C27*'Mode Operating Assumptions'!$C$8/'Mode Operating Assumptions'!C11)</f>
        <v>0</v>
      </c>
      <c r="D28" s="246">
        <f>-(D27*'Mode Operating Assumptions'!$C$8/'Mode Operating Assumptions'!D11)</f>
        <v>25663.82347149877</v>
      </c>
      <c r="E28" s="246">
        <f>-(E27*'Mode Operating Assumptions'!$C$8/'Mode Operating Assumptions'!E11)</f>
        <v>50731.23711393532</v>
      </c>
      <c r="F28" s="246">
        <f>-(F27*'Mode Operating Assumptions'!$C$8/'Mode Operating Assumptions'!F11)</f>
        <v>50165.869462293573</v>
      </c>
      <c r="G28" s="246">
        <f>-(G27*'Mode Operating Assumptions'!$C$8/'Mode Operating Assumptions'!G11)</f>
        <v>49630.171779418757</v>
      </c>
      <c r="H28" s="246">
        <f>-(H27*'Mode Operating Assumptions'!$C$8/'Mode Operating Assumptions'!H11)</f>
        <v>49122.972901526671</v>
      </c>
      <c r="I28" s="246">
        <f>-(I27*'Mode Operating Assumptions'!$C$8/'Mode Operating Assumptions'!I11)</f>
        <v>48643.293339642754</v>
      </c>
      <c r="J28" s="246">
        <f>-(J27*'Mode Operating Assumptions'!$C$8/'Mode Operating Assumptions'!J11)</f>
        <v>48190.338577712522</v>
      </c>
      <c r="K28" s="246">
        <f>-(K27*'Mode Operating Assumptions'!$C$8/'Mode Operating Assumptions'!K11)</f>
        <v>47763.494873166928</v>
      </c>
      <c r="L28" s="246">
        <f>-(L27*'Mode Operating Assumptions'!$C$8/'Mode Operating Assumptions'!L11)</f>
        <v>47958.628519471335</v>
      </c>
      <c r="M28" s="246">
        <f>-(M27*'Mode Operating Assumptions'!$C$8/'Mode Operating Assumptions'!M11)</f>
        <v>48164.046445953907</v>
      </c>
      <c r="N28" s="246">
        <f>-(N27*'Mode Operating Assumptions'!$C$8/'Mode Operating Assumptions'!N11)</f>
        <v>48381.166719015688</v>
      </c>
      <c r="O28" s="246">
        <f>-(O27*'Mode Operating Assumptions'!$C$8/'Mode Operating Assumptions'!O11)</f>
        <v>48611.600526507187</v>
      </c>
      <c r="P28" s="246">
        <f>-(P27*'Mode Operating Assumptions'!$C$8/'Mode Operating Assumptions'!P11)</f>
        <v>48857.178482570409</v>
      </c>
      <c r="Q28" s="246">
        <f>-(Q27*'Mode Operating Assumptions'!$C$8/'Mode Operating Assumptions'!Q11)</f>
        <v>49119.980515491479</v>
      </c>
      <c r="R28" s="246">
        <f>-(R27*'Mode Operating Assumptions'!$C$8/'Mode Operating Assumptions'!R11)</f>
        <v>49402.369826618393</v>
      </c>
      <c r="S28" s="246">
        <f>-(S27*'Mode Operating Assumptions'!$C$8/'Mode Operating Assumptions'!S11)</f>
        <v>49707.031474879819</v>
      </c>
      <c r="T28" s="246">
        <f>-(T27*'Mode Operating Assumptions'!$C$8/'Mode Operating Assumptions'!T11)</f>
        <v>50037.016216977667</v>
      </c>
      <c r="U28" s="246">
        <f>-(U27*'Mode Operating Assumptions'!$C$8/'Mode Operating Assumptions'!U11)</f>
        <v>50395.79031915214</v>
      </c>
      <c r="V28" s="246">
        <f>-(V27*'Mode Operating Assumptions'!$C$8/'Mode Operating Assumptions'!V11)</f>
        <v>50787.292153936323</v>
      </c>
      <c r="W28" s="246">
        <f>-(W27*'Mode Operating Assumptions'!$C$8/'Mode Operating Assumptions'!W11)</f>
        <v>51215.996506118245</v>
      </c>
      <c r="X28" s="246">
        <f>-(X27*'Mode Operating Assumptions'!$C$8/'Mode Operating Assumptions'!X11)</f>
        <v>51686.987638023318</v>
      </c>
      <c r="Y28" s="246">
        <f>-(Y27*'Mode Operating Assumptions'!$C$8/'Mode Operating Assumptions'!Y11)</f>
        <v>52206.042307274576</v>
      </c>
      <c r="Z28" s="246">
        <f>-(Z27*'Mode Operating Assumptions'!$C$8/'Mode Operating Assumptions'!Z11)</f>
        <v>52779.724092717246</v>
      </c>
    </row>
    <row r="29" spans="1:26">
      <c r="A29" s="70"/>
      <c r="B29" s="54"/>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row>
    <row r="30" spans="1:26">
      <c r="A30" s="70"/>
      <c r="B30" s="54"/>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row>
    <row r="31" spans="1:26">
      <c r="A31" s="70"/>
      <c r="B31" s="54"/>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26">
      <c r="A32" s="70"/>
      <c r="B32" s="54"/>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row>
    <row r="33" spans="1:26">
      <c r="A33" s="70"/>
      <c r="B33" s="54"/>
      <c r="C33" s="246"/>
      <c r="D33" s="246"/>
      <c r="E33" s="246"/>
      <c r="F33" s="246"/>
      <c r="G33" s="246"/>
      <c r="H33" s="246"/>
      <c r="I33" s="246"/>
      <c r="J33" s="246"/>
      <c r="K33" s="246"/>
      <c r="L33" s="246"/>
      <c r="M33" s="246"/>
      <c r="N33" s="246"/>
      <c r="O33" s="246"/>
      <c r="P33" s="246"/>
      <c r="Q33" s="246"/>
      <c r="R33" s="246"/>
      <c r="S33" s="246"/>
      <c r="T33" s="246"/>
      <c r="U33" s="246"/>
      <c r="V33" s="246"/>
      <c r="W33" s="246"/>
      <c r="X33" s="246"/>
      <c r="Y33" s="246"/>
      <c r="Z33" s="246"/>
    </row>
    <row r="34" spans="1:26">
      <c r="A34" s="70"/>
      <c r="B34" s="54"/>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row>
    <row r="35" spans="1:26">
      <c r="G35"/>
      <c r="I35"/>
    </row>
    <row r="36" spans="1:26" s="400" customFormat="1" ht="11.25">
      <c r="A36" s="521" t="s">
        <v>251</v>
      </c>
      <c r="B36" s="523" t="s">
        <v>256</v>
      </c>
      <c r="C36" s="524"/>
      <c r="D36" s="524"/>
      <c r="E36" s="525"/>
      <c r="F36" s="523" t="s">
        <v>257</v>
      </c>
      <c r="G36" s="524"/>
      <c r="H36" s="524"/>
      <c r="I36" s="525"/>
    </row>
    <row r="37" spans="1:26" s="400" customFormat="1" ht="12" thickBot="1">
      <c r="A37" s="522"/>
      <c r="B37" s="151">
        <v>2005</v>
      </c>
      <c r="C37" s="152">
        <v>2010</v>
      </c>
      <c r="D37" s="152">
        <v>2020</v>
      </c>
      <c r="E37" s="153">
        <v>2030</v>
      </c>
      <c r="F37" s="151">
        <v>2005</v>
      </c>
      <c r="G37" s="152">
        <v>2010</v>
      </c>
      <c r="H37" s="152">
        <v>2020</v>
      </c>
      <c r="I37" s="153">
        <v>2030</v>
      </c>
    </row>
    <row r="38" spans="1:26">
      <c r="A38" s="420" t="s">
        <v>590</v>
      </c>
      <c r="B38" s="421">
        <v>6231.8571428571422</v>
      </c>
      <c r="C38" s="422">
        <v>6483.6278673438901</v>
      </c>
      <c r="D38" s="422">
        <v>7211.7941541943401</v>
      </c>
      <c r="E38" s="423">
        <v>7414.1733820700729</v>
      </c>
      <c r="F38" s="421">
        <v>6507.0952380952358</v>
      </c>
      <c r="G38" s="422">
        <v>6653.8828921490694</v>
      </c>
      <c r="H38" s="422">
        <v>7352.1937749765766</v>
      </c>
      <c r="I38" s="423">
        <v>7593.4228852588367</v>
      </c>
    </row>
    <row r="39" spans="1:26">
      <c r="D39">
        <f>(D38-C38)/10</f>
        <v>72.816628685045004</v>
      </c>
      <c r="E39">
        <f>(E38-D38)/10</f>
        <v>20.237922787573279</v>
      </c>
      <c r="H39">
        <f>(H38-G38)/10</f>
        <v>69.831088282750713</v>
      </c>
      <c r="I39">
        <f>(I38-H38)/10</f>
        <v>24.122911028226007</v>
      </c>
    </row>
    <row r="40" spans="1:26">
      <c r="D40" s="128">
        <f>D39/C38</f>
        <v>1.1230846398788671E-2</v>
      </c>
      <c r="E40" s="128">
        <f>E39/D38</f>
        <v>2.8062257955328651E-3</v>
      </c>
      <c r="F40" s="128"/>
      <c r="G40" s="401"/>
      <c r="H40" s="128">
        <f>H39/G38</f>
        <v>1.0494787692332933E-2</v>
      </c>
      <c r="I40" s="128">
        <f>I39/H38</f>
        <v>3.2810494073658796E-3</v>
      </c>
    </row>
    <row r="41" spans="1:26">
      <c r="D41" s="128"/>
      <c r="E41" s="128"/>
      <c r="F41" s="128"/>
      <c r="G41" s="401"/>
      <c r="H41" s="128"/>
      <c r="I41" s="128"/>
    </row>
    <row r="42" spans="1:26">
      <c r="C42" s="75">
        <v>2012</v>
      </c>
      <c r="D42" s="75">
        <v>2013</v>
      </c>
      <c r="E42" s="75">
        <v>2014</v>
      </c>
      <c r="F42" s="75">
        <v>2015</v>
      </c>
      <c r="G42" s="75">
        <v>2016</v>
      </c>
      <c r="H42" s="75">
        <v>2017</v>
      </c>
      <c r="I42" s="75">
        <v>2018</v>
      </c>
      <c r="J42" s="75">
        <v>2019</v>
      </c>
      <c r="K42" s="75">
        <v>2020</v>
      </c>
      <c r="L42" s="75">
        <v>2021</v>
      </c>
      <c r="M42" s="75">
        <v>2022</v>
      </c>
      <c r="N42" s="75">
        <v>2023</v>
      </c>
      <c r="O42" s="75">
        <v>2024</v>
      </c>
      <c r="P42" s="75">
        <v>2025</v>
      </c>
      <c r="Q42" s="75">
        <v>2026</v>
      </c>
      <c r="R42" s="75">
        <v>2027</v>
      </c>
      <c r="S42" s="75">
        <v>2028</v>
      </c>
      <c r="T42" s="75">
        <v>2029</v>
      </c>
      <c r="U42" s="75">
        <v>2030</v>
      </c>
      <c r="V42" s="75">
        <v>2031</v>
      </c>
      <c r="W42" s="75">
        <v>2032</v>
      </c>
      <c r="X42" s="75">
        <v>2033</v>
      </c>
      <c r="Y42" s="75">
        <v>2034</v>
      </c>
      <c r="Z42" s="75">
        <v>2035</v>
      </c>
    </row>
    <row r="43" spans="1:26">
      <c r="C43" s="75" t="s">
        <v>18</v>
      </c>
      <c r="D43" s="72" t="s">
        <v>19</v>
      </c>
      <c r="E43" s="72" t="s">
        <v>20</v>
      </c>
      <c r="F43" s="72" t="s">
        <v>21</v>
      </c>
      <c r="G43" s="72" t="s">
        <v>22</v>
      </c>
      <c r="H43" s="72" t="s">
        <v>23</v>
      </c>
      <c r="I43" s="72" t="s">
        <v>24</v>
      </c>
      <c r="J43" s="72" t="s">
        <v>25</v>
      </c>
      <c r="K43" s="72" t="s">
        <v>26</v>
      </c>
      <c r="L43" s="72" t="s">
        <v>27</v>
      </c>
      <c r="M43" s="72" t="s">
        <v>28</v>
      </c>
      <c r="N43" s="72" t="s">
        <v>29</v>
      </c>
      <c r="O43" s="72" t="s">
        <v>30</v>
      </c>
      <c r="P43" s="72" t="s">
        <v>31</v>
      </c>
      <c r="Q43" s="72" t="s">
        <v>32</v>
      </c>
      <c r="R43" s="72" t="s">
        <v>33</v>
      </c>
      <c r="S43" s="72" t="s">
        <v>34</v>
      </c>
      <c r="T43" s="72" t="s">
        <v>35</v>
      </c>
      <c r="U43" s="72" t="s">
        <v>36</v>
      </c>
      <c r="V43" s="72" t="s">
        <v>123</v>
      </c>
      <c r="W43" s="72" t="s">
        <v>245</v>
      </c>
      <c r="X43" s="72" t="s">
        <v>246</v>
      </c>
      <c r="Y43" s="72" t="s">
        <v>247</v>
      </c>
      <c r="Z43" s="72" t="s">
        <v>248</v>
      </c>
    </row>
    <row r="44" spans="1:26">
      <c r="B44" s="26" t="s">
        <v>267</v>
      </c>
      <c r="C44" s="402">
        <f>$C$38*(1+($D$40*(C42-2010)))+$G$38*(1+($H$40*(C42-2010)))</f>
        <v>13422.806193428551</v>
      </c>
      <c r="D44" s="402">
        <f t="shared" ref="D44:J44" si="10">$C$38*(1+($D$40*(D42-2010)))+$G$38*(1+($H$40*(D42-2010)))</f>
        <v>13565.453910396347</v>
      </c>
      <c r="E44" s="402">
        <f t="shared" si="10"/>
        <v>13708.101627364143</v>
      </c>
      <c r="F44" s="402">
        <f t="shared" si="10"/>
        <v>13850.749344331938</v>
      </c>
      <c r="G44" s="402">
        <f t="shared" si="10"/>
        <v>13993.397061299733</v>
      </c>
      <c r="H44" s="402">
        <f t="shared" si="10"/>
        <v>14136.044778267529</v>
      </c>
      <c r="I44" s="402">
        <f t="shared" si="10"/>
        <v>14278.692495235326</v>
      </c>
      <c r="J44" s="402">
        <f t="shared" si="10"/>
        <v>14421.340212203122</v>
      </c>
      <c r="K44" s="164">
        <f>H38+D38</f>
        <v>14563.987929170917</v>
      </c>
      <c r="L44" s="402">
        <f>$D$38*(1+($E$40*(L42-2020)))+$H$38*(1+($I$40*(L42-2020)))</f>
        <v>14608.348762986716</v>
      </c>
      <c r="M44" s="402">
        <f t="shared" ref="M44:Z44" si="11">$D$38*(1+($E$40*(M42-2020)))+$H$38*(1+($I$40*(M42-2020)))</f>
        <v>14652.709596802515</v>
      </c>
      <c r="N44" s="402">
        <f t="shared" si="11"/>
        <v>14697.070430618314</v>
      </c>
      <c r="O44" s="402">
        <f t="shared" si="11"/>
        <v>14741.431264434115</v>
      </c>
      <c r="P44" s="402">
        <f t="shared" si="11"/>
        <v>14785.792098249913</v>
      </c>
      <c r="Q44" s="402">
        <f t="shared" si="11"/>
        <v>14830.152932065714</v>
      </c>
      <c r="R44" s="402">
        <f t="shared" si="11"/>
        <v>14874.513765881511</v>
      </c>
      <c r="S44" s="402">
        <f t="shared" si="11"/>
        <v>14918.87459969731</v>
      </c>
      <c r="T44" s="402">
        <f t="shared" si="11"/>
        <v>14963.235433513109</v>
      </c>
      <c r="U44" s="402">
        <f t="shared" si="11"/>
        <v>15007.59626732891</v>
      </c>
      <c r="V44" s="402">
        <f t="shared" si="11"/>
        <v>15051.957101144708</v>
      </c>
      <c r="W44" s="402">
        <f t="shared" si="11"/>
        <v>15096.317934960509</v>
      </c>
      <c r="X44" s="402">
        <f t="shared" si="11"/>
        <v>15140.678768776308</v>
      </c>
      <c r="Y44" s="402">
        <f t="shared" si="11"/>
        <v>15185.039602592107</v>
      </c>
      <c r="Z44" s="402">
        <f t="shared" si="11"/>
        <v>15229.400436407905</v>
      </c>
    </row>
    <row r="45" spans="1:26">
      <c r="U45" s="417">
        <f>I38+E38</f>
        <v>15007.59626732891</v>
      </c>
    </row>
    <row r="47" spans="1:26" s="174" customFormat="1">
      <c r="A47" s="173" t="s">
        <v>290</v>
      </c>
      <c r="B47" s="173" t="s">
        <v>272</v>
      </c>
      <c r="C47" s="173" t="s">
        <v>273</v>
      </c>
      <c r="D47" s="173" t="s">
        <v>274</v>
      </c>
      <c r="E47" s="173" t="s">
        <v>275</v>
      </c>
      <c r="F47" s="173" t="s">
        <v>276</v>
      </c>
      <c r="G47" s="173" t="s">
        <v>277</v>
      </c>
      <c r="H47" s="173" t="s">
        <v>278</v>
      </c>
      <c r="I47" s="173" t="s">
        <v>279</v>
      </c>
      <c r="J47" s="173" t="s">
        <v>280</v>
      </c>
      <c r="K47" s="173" t="s">
        <v>281</v>
      </c>
      <c r="L47" s="173" t="s">
        <v>282</v>
      </c>
      <c r="M47" s="173" t="s">
        <v>283</v>
      </c>
      <c r="N47" s="173" t="s">
        <v>284</v>
      </c>
      <c r="O47" s="173" t="s">
        <v>285</v>
      </c>
      <c r="P47" s="173" t="s">
        <v>286</v>
      </c>
      <c r="Q47" s="173" t="s">
        <v>287</v>
      </c>
      <c r="R47" s="173" t="s">
        <v>288</v>
      </c>
    </row>
    <row r="48" spans="1:26" s="419" customFormat="1">
      <c r="A48" s="405" t="s">
        <v>588</v>
      </c>
      <c r="B48" s="406">
        <v>6712.9454899999655</v>
      </c>
      <c r="C48" s="172"/>
      <c r="D48" s="172"/>
      <c r="E48" s="172"/>
      <c r="F48" s="406">
        <v>864.07885000000033</v>
      </c>
      <c r="G48" s="172"/>
      <c r="H48" s="172"/>
      <c r="I48" s="406">
        <v>884.33072000000038</v>
      </c>
      <c r="J48" s="172"/>
      <c r="K48" s="172"/>
      <c r="L48" s="406">
        <v>3317.1394799999994</v>
      </c>
      <c r="M48" s="172"/>
      <c r="N48" s="406">
        <v>36.750709999999998</v>
      </c>
      <c r="O48" s="172"/>
      <c r="P48" s="406">
        <v>44.794559999999997</v>
      </c>
      <c r="Q48" s="406">
        <v>33.922629999999998</v>
      </c>
      <c r="R48" s="406">
        <v>1531.9285400000017</v>
      </c>
    </row>
    <row r="49" spans="1:26">
      <c r="D49" s="128">
        <f>D48/$B48</f>
        <v>0</v>
      </c>
      <c r="E49" s="128">
        <f>E48/$B48</f>
        <v>0</v>
      </c>
      <c r="F49" s="128">
        <f t="shared" ref="F49:R49" si="12">F48/$B48</f>
        <v>0.12871828786442369</v>
      </c>
      <c r="G49" s="128">
        <f t="shared" si="12"/>
        <v>0</v>
      </c>
      <c r="H49" s="128">
        <f t="shared" si="12"/>
        <v>0</v>
      </c>
      <c r="I49" s="128">
        <f t="shared" si="12"/>
        <v>0.13173512600651327</v>
      </c>
      <c r="J49" s="128">
        <f t="shared" si="12"/>
        <v>0</v>
      </c>
      <c r="K49" s="128">
        <f t="shared" si="12"/>
        <v>0</v>
      </c>
      <c r="L49" s="128">
        <f t="shared" si="12"/>
        <v>0.49414068458345495</v>
      </c>
      <c r="M49" s="128">
        <f t="shared" si="12"/>
        <v>0</v>
      </c>
      <c r="N49" s="128">
        <f t="shared" si="12"/>
        <v>5.4746027738116175E-3</v>
      </c>
      <c r="O49" s="128">
        <f t="shared" si="12"/>
        <v>0</v>
      </c>
      <c r="P49" s="128">
        <f t="shared" si="12"/>
        <v>6.6728621685858839E-3</v>
      </c>
      <c r="Q49" s="128">
        <f t="shared" si="12"/>
        <v>5.0533152772554652E-3</v>
      </c>
      <c r="R49" s="128">
        <f t="shared" si="12"/>
        <v>0.22820512132596052</v>
      </c>
    </row>
    <row r="50" spans="1:26" ht="15">
      <c r="B50" s="138" t="s">
        <v>289</v>
      </c>
      <c r="G50"/>
      <c r="I50"/>
    </row>
    <row r="51" spans="1:26">
      <c r="C51" s="75">
        <v>2012</v>
      </c>
      <c r="D51" s="75">
        <v>2013</v>
      </c>
      <c r="E51" s="75">
        <v>2014</v>
      </c>
      <c r="F51" s="75">
        <v>2015</v>
      </c>
      <c r="G51" s="75">
        <v>2016</v>
      </c>
      <c r="H51" s="75">
        <v>2017</v>
      </c>
      <c r="I51" s="75">
        <v>2018</v>
      </c>
      <c r="J51" s="75">
        <v>2019</v>
      </c>
      <c r="K51" s="75">
        <v>2020</v>
      </c>
      <c r="L51" s="75">
        <v>2021</v>
      </c>
      <c r="M51" s="75">
        <v>2022</v>
      </c>
      <c r="N51" s="75">
        <v>2023</v>
      </c>
      <c r="O51" s="75">
        <v>2024</v>
      </c>
      <c r="P51" s="75">
        <v>2025</v>
      </c>
      <c r="Q51" s="75">
        <v>2026</v>
      </c>
      <c r="R51" s="75">
        <v>2027</v>
      </c>
      <c r="S51" s="75">
        <v>2028</v>
      </c>
      <c r="T51" s="75">
        <v>2029</v>
      </c>
      <c r="U51" s="75">
        <v>2030</v>
      </c>
      <c r="V51" s="75">
        <v>2031</v>
      </c>
      <c r="W51" s="75">
        <v>2032</v>
      </c>
      <c r="X51" s="75">
        <v>2033</v>
      </c>
      <c r="Y51" s="75">
        <v>2034</v>
      </c>
      <c r="Z51" s="75">
        <v>2035</v>
      </c>
    </row>
    <row r="52" spans="1:26">
      <c r="C52" s="75" t="s">
        <v>18</v>
      </c>
      <c r="D52" s="72" t="s">
        <v>19</v>
      </c>
      <c r="E52" s="72" t="s">
        <v>20</v>
      </c>
      <c r="F52" s="72" t="s">
        <v>21</v>
      </c>
      <c r="G52" s="72" t="s">
        <v>22</v>
      </c>
      <c r="H52" s="72" t="s">
        <v>23</v>
      </c>
      <c r="I52" s="72" t="s">
        <v>24</v>
      </c>
      <c r="J52" s="72" t="s">
        <v>25</v>
      </c>
      <c r="K52" s="72" t="s">
        <v>26</v>
      </c>
      <c r="L52" s="72" t="s">
        <v>27</v>
      </c>
      <c r="M52" s="72" t="s">
        <v>28</v>
      </c>
      <c r="N52" s="72" t="s">
        <v>29</v>
      </c>
      <c r="O52" s="72" t="s">
        <v>30</v>
      </c>
      <c r="P52" s="72" t="s">
        <v>31</v>
      </c>
      <c r="Q52" s="72" t="s">
        <v>32</v>
      </c>
      <c r="R52" s="72" t="s">
        <v>33</v>
      </c>
      <c r="S52" s="72" t="s">
        <v>34</v>
      </c>
      <c r="T52" s="72" t="s">
        <v>35</v>
      </c>
      <c r="U52" s="72" t="s">
        <v>36</v>
      </c>
      <c r="V52" s="72" t="s">
        <v>123</v>
      </c>
      <c r="W52" s="72" t="s">
        <v>245</v>
      </c>
      <c r="X52" s="72" t="s">
        <v>246</v>
      </c>
      <c r="Y52" s="72" t="s">
        <v>247</v>
      </c>
      <c r="Z52" s="72" t="s">
        <v>248</v>
      </c>
    </row>
    <row r="53" spans="1:26">
      <c r="A53" s="133">
        <f>R49</f>
        <v>0.22820512132596052</v>
      </c>
      <c r="B53" t="s">
        <v>125</v>
      </c>
      <c r="C53" s="34">
        <f>C$59*$A53</f>
        <v>3063.1531159062329</v>
      </c>
      <c r="D53" s="34">
        <f t="shared" ref="D53:S58" si="13">D$59*$A53</f>
        <v>3095.7060554637405</v>
      </c>
      <c r="E53" s="34">
        <f t="shared" si="13"/>
        <v>3128.2589950212478</v>
      </c>
      <c r="F53" s="34">
        <f t="shared" si="13"/>
        <v>3160.811934578755</v>
      </c>
      <c r="G53" s="34">
        <f t="shared" si="13"/>
        <v>3193.3648741362617</v>
      </c>
      <c r="H53" s="34">
        <f t="shared" si="13"/>
        <v>3225.9178136937694</v>
      </c>
      <c r="I53" s="34">
        <f t="shared" si="13"/>
        <v>3258.4707532512771</v>
      </c>
      <c r="J53" s="34">
        <f t="shared" si="13"/>
        <v>3291.0236928087843</v>
      </c>
      <c r="K53" s="34">
        <f t="shared" si="13"/>
        <v>3323.5766323662915</v>
      </c>
      <c r="L53" s="34">
        <f t="shared" si="13"/>
        <v>3333.7000018293465</v>
      </c>
      <c r="M53" s="34">
        <f t="shared" si="13"/>
        <v>3343.823371292402</v>
      </c>
      <c r="N53" s="34">
        <f t="shared" si="13"/>
        <v>3353.9467407554571</v>
      </c>
      <c r="O53" s="34">
        <f t="shared" si="13"/>
        <v>3364.0701102185126</v>
      </c>
      <c r="P53" s="34">
        <f t="shared" si="13"/>
        <v>3374.1934796815676</v>
      </c>
      <c r="Q53" s="34">
        <f t="shared" si="13"/>
        <v>3384.3168491446231</v>
      </c>
      <c r="R53" s="34">
        <f t="shared" si="13"/>
        <v>3394.4402186076786</v>
      </c>
      <c r="S53" s="34">
        <f t="shared" si="13"/>
        <v>3404.5635880707337</v>
      </c>
      <c r="T53" s="34">
        <f t="shared" ref="S53:Z58" si="14">T$59*$A53</f>
        <v>3414.6869575337887</v>
      </c>
      <c r="U53" s="34">
        <f t="shared" si="14"/>
        <v>3424.8103269968447</v>
      </c>
      <c r="V53" s="34">
        <f t="shared" si="14"/>
        <v>3434.9336964598992</v>
      </c>
      <c r="W53" s="34">
        <f t="shared" si="14"/>
        <v>3445.0570659229547</v>
      </c>
      <c r="X53" s="34">
        <f t="shared" si="14"/>
        <v>3455.1804353860102</v>
      </c>
      <c r="Y53" s="34">
        <f t="shared" si="14"/>
        <v>3465.3038048490653</v>
      </c>
      <c r="Z53" s="34">
        <f t="shared" si="14"/>
        <v>3475.4271743121208</v>
      </c>
    </row>
    <row r="54" spans="1:26">
      <c r="A54" s="133">
        <f>G49</f>
        <v>0</v>
      </c>
      <c r="B54" t="s">
        <v>225</v>
      </c>
      <c r="C54" s="34">
        <f t="shared" ref="C54:C58" si="15">C$59*$A54</f>
        <v>0</v>
      </c>
      <c r="D54" s="34">
        <f t="shared" si="13"/>
        <v>0</v>
      </c>
      <c r="E54" s="34">
        <f t="shared" si="13"/>
        <v>0</v>
      </c>
      <c r="F54" s="34">
        <f t="shared" si="13"/>
        <v>0</v>
      </c>
      <c r="G54" s="34">
        <f t="shared" si="13"/>
        <v>0</v>
      </c>
      <c r="H54" s="34">
        <f t="shared" si="13"/>
        <v>0</v>
      </c>
      <c r="I54" s="34">
        <f t="shared" si="13"/>
        <v>0</v>
      </c>
      <c r="J54" s="34">
        <f t="shared" si="13"/>
        <v>0</v>
      </c>
      <c r="K54" s="34">
        <f t="shared" si="13"/>
        <v>0</v>
      </c>
      <c r="L54" s="34">
        <f t="shared" si="13"/>
        <v>0</v>
      </c>
      <c r="M54" s="34">
        <f t="shared" si="13"/>
        <v>0</v>
      </c>
      <c r="N54" s="34">
        <f t="shared" si="13"/>
        <v>0</v>
      </c>
      <c r="O54" s="34">
        <f t="shared" si="13"/>
        <v>0</v>
      </c>
      <c r="P54" s="34">
        <f t="shared" si="13"/>
        <v>0</v>
      </c>
      <c r="Q54" s="34">
        <f t="shared" si="13"/>
        <v>0</v>
      </c>
      <c r="R54" s="34">
        <f t="shared" si="13"/>
        <v>0</v>
      </c>
      <c r="S54" s="34">
        <f t="shared" si="14"/>
        <v>0</v>
      </c>
      <c r="T54" s="34">
        <f t="shared" si="14"/>
        <v>0</v>
      </c>
      <c r="U54" s="34">
        <f t="shared" si="14"/>
        <v>0</v>
      </c>
      <c r="V54" s="34">
        <f t="shared" si="14"/>
        <v>0</v>
      </c>
      <c r="W54" s="34">
        <f t="shared" si="14"/>
        <v>0</v>
      </c>
      <c r="X54" s="34">
        <f t="shared" si="14"/>
        <v>0</v>
      </c>
      <c r="Y54" s="34">
        <f t="shared" si="14"/>
        <v>0</v>
      </c>
      <c r="Z54" s="34">
        <f t="shared" si="14"/>
        <v>0</v>
      </c>
    </row>
    <row r="55" spans="1:26">
      <c r="A55" s="133">
        <f>I49</f>
        <v>0.13173512600651327</v>
      </c>
      <c r="B55" s="26" t="s">
        <v>230</v>
      </c>
      <c r="C55" s="34">
        <f t="shared" si="15"/>
        <v>1768.2550652523262</v>
      </c>
      <c r="D55" s="34">
        <f t="shared" si="13"/>
        <v>1787.0467802216206</v>
      </c>
      <c r="E55" s="34">
        <f t="shared" si="13"/>
        <v>1805.8384951909147</v>
      </c>
      <c r="F55" s="34">
        <f t="shared" si="13"/>
        <v>1824.6302101602087</v>
      </c>
      <c r="G55" s="34">
        <f t="shared" si="13"/>
        <v>1843.4219251295026</v>
      </c>
      <c r="H55" s="34">
        <f t="shared" si="13"/>
        <v>1862.2136400987968</v>
      </c>
      <c r="I55" s="34">
        <f t="shared" si="13"/>
        <v>1881.0053550680911</v>
      </c>
      <c r="J55" s="34">
        <f t="shared" si="13"/>
        <v>1899.7970700373851</v>
      </c>
      <c r="K55" s="34">
        <f t="shared" si="13"/>
        <v>1918.5887850066792</v>
      </c>
      <c r="L55" s="34">
        <f t="shared" si="13"/>
        <v>1924.4326650391577</v>
      </c>
      <c r="M55" s="34">
        <f t="shared" si="13"/>
        <v>1930.2765450716358</v>
      </c>
      <c r="N55" s="34">
        <f t="shared" si="13"/>
        <v>1936.1204251041142</v>
      </c>
      <c r="O55" s="34">
        <f t="shared" si="13"/>
        <v>1941.9643051365927</v>
      </c>
      <c r="P55" s="34">
        <f t="shared" si="13"/>
        <v>1947.8081851690708</v>
      </c>
      <c r="Q55" s="34">
        <f t="shared" si="13"/>
        <v>1953.6520652015492</v>
      </c>
      <c r="R55" s="34">
        <f t="shared" si="13"/>
        <v>1959.4959452340277</v>
      </c>
      <c r="S55" s="34">
        <f t="shared" si="14"/>
        <v>1965.3398252665058</v>
      </c>
      <c r="T55" s="34">
        <f t="shared" si="14"/>
        <v>1971.1837052989843</v>
      </c>
      <c r="U55" s="34">
        <f t="shared" si="14"/>
        <v>1977.0275853314629</v>
      </c>
      <c r="V55" s="34">
        <f t="shared" si="14"/>
        <v>1982.8714653639408</v>
      </c>
      <c r="W55" s="34">
        <f t="shared" si="14"/>
        <v>1988.7153453964195</v>
      </c>
      <c r="X55" s="34">
        <f t="shared" si="14"/>
        <v>1994.5592254288977</v>
      </c>
      <c r="Y55" s="34">
        <f t="shared" si="14"/>
        <v>2000.4031054613761</v>
      </c>
      <c r="Z55" s="34">
        <f t="shared" si="14"/>
        <v>2006.2469854938543</v>
      </c>
    </row>
    <row r="56" spans="1:26">
      <c r="A56" s="133">
        <f>F49</f>
        <v>0.12871828786442369</v>
      </c>
      <c r="B56" s="26" t="s">
        <v>231</v>
      </c>
      <c r="C56" s="34">
        <f t="shared" si="15"/>
        <v>1727.7606315541145</v>
      </c>
      <c r="D56" s="34">
        <f t="shared" si="13"/>
        <v>1746.1220014499784</v>
      </c>
      <c r="E56" s="34">
        <f t="shared" si="13"/>
        <v>1764.483371345842</v>
      </c>
      <c r="F56" s="34">
        <f t="shared" si="13"/>
        <v>1782.8447412417056</v>
      </c>
      <c r="G56" s="34">
        <f t="shared" si="13"/>
        <v>1801.206111137569</v>
      </c>
      <c r="H56" s="34">
        <f t="shared" si="13"/>
        <v>1819.5674810334326</v>
      </c>
      <c r="I56" s="34">
        <f t="shared" si="13"/>
        <v>1837.9288509292967</v>
      </c>
      <c r="J56" s="34">
        <f t="shared" si="13"/>
        <v>1856.2902208251603</v>
      </c>
      <c r="K56" s="34">
        <f t="shared" si="13"/>
        <v>1874.6515907210239</v>
      </c>
      <c r="L56" s="34">
        <f t="shared" si="13"/>
        <v>1880.3616412980318</v>
      </c>
      <c r="M56" s="34">
        <f t="shared" si="13"/>
        <v>1886.0716918750397</v>
      </c>
      <c r="N56" s="34">
        <f t="shared" si="13"/>
        <v>1891.7817424520476</v>
      </c>
      <c r="O56" s="34">
        <f t="shared" si="13"/>
        <v>1897.4917930290558</v>
      </c>
      <c r="P56" s="34">
        <f t="shared" si="13"/>
        <v>1903.2018436060634</v>
      </c>
      <c r="Q56" s="34">
        <f t="shared" si="13"/>
        <v>1908.9118941830716</v>
      </c>
      <c r="R56" s="34">
        <f t="shared" si="13"/>
        <v>1914.6219447600795</v>
      </c>
      <c r="S56" s="34">
        <f t="shared" si="14"/>
        <v>1920.3319953370874</v>
      </c>
      <c r="T56" s="34">
        <f t="shared" si="14"/>
        <v>1926.0420459140953</v>
      </c>
      <c r="U56" s="34">
        <f t="shared" si="14"/>
        <v>1931.7520964911034</v>
      </c>
      <c r="V56" s="34">
        <f t="shared" si="14"/>
        <v>1937.4621470681111</v>
      </c>
      <c r="W56" s="34">
        <f t="shared" si="14"/>
        <v>1943.1721976451192</v>
      </c>
      <c r="X56" s="34">
        <f t="shared" si="14"/>
        <v>1948.8822482221271</v>
      </c>
      <c r="Y56" s="34">
        <f t="shared" si="14"/>
        <v>1954.5922987991351</v>
      </c>
      <c r="Z56" s="34">
        <f t="shared" si="14"/>
        <v>1960.302349376143</v>
      </c>
    </row>
    <row r="57" spans="1:26">
      <c r="A57" s="133">
        <f>H49+L49+N49+O49</f>
        <v>0.49961528735726657</v>
      </c>
      <c r="B57" t="s">
        <v>224</v>
      </c>
      <c r="C57" s="34">
        <f t="shared" si="15"/>
        <v>6706.239173470738</v>
      </c>
      <c r="D57" s="34">
        <f t="shared" si="13"/>
        <v>6777.508153574463</v>
      </c>
      <c r="E57" s="34">
        <f t="shared" si="13"/>
        <v>6848.7771336781861</v>
      </c>
      <c r="F57" s="34">
        <f t="shared" si="13"/>
        <v>6920.0461137819102</v>
      </c>
      <c r="G57" s="34">
        <f t="shared" si="13"/>
        <v>6991.3150938856325</v>
      </c>
      <c r="H57" s="34">
        <f t="shared" si="13"/>
        <v>7062.5840739893565</v>
      </c>
      <c r="I57" s="34">
        <f t="shared" si="13"/>
        <v>7133.8530540930806</v>
      </c>
      <c r="J57" s="34">
        <f t="shared" si="13"/>
        <v>7205.1220341968046</v>
      </c>
      <c r="K57" s="34">
        <f t="shared" si="13"/>
        <v>7276.3910143005287</v>
      </c>
      <c r="L57" s="34">
        <f t="shared" si="13"/>
        <v>7298.5543650348163</v>
      </c>
      <c r="M57" s="34">
        <f t="shared" si="13"/>
        <v>7320.7177157691049</v>
      </c>
      <c r="N57" s="34">
        <f t="shared" si="13"/>
        <v>7342.8810665033934</v>
      </c>
      <c r="O57" s="34">
        <f t="shared" si="13"/>
        <v>7365.0444172376829</v>
      </c>
      <c r="P57" s="34">
        <f t="shared" si="13"/>
        <v>7387.2077679719705</v>
      </c>
      <c r="Q57" s="34">
        <f t="shared" si="13"/>
        <v>7409.3711187062599</v>
      </c>
      <c r="R57" s="34">
        <f t="shared" si="13"/>
        <v>7431.5344694405485</v>
      </c>
      <c r="S57" s="34">
        <f t="shared" si="14"/>
        <v>7453.697820174837</v>
      </c>
      <c r="T57" s="34">
        <f t="shared" si="14"/>
        <v>7475.8611709091256</v>
      </c>
      <c r="U57" s="34">
        <f t="shared" si="14"/>
        <v>7498.024521643415</v>
      </c>
      <c r="V57" s="34">
        <f t="shared" si="14"/>
        <v>7520.1878723777027</v>
      </c>
      <c r="W57" s="34">
        <f t="shared" si="14"/>
        <v>7542.3512231119921</v>
      </c>
      <c r="X57" s="34">
        <f t="shared" si="14"/>
        <v>7564.5145738462797</v>
      </c>
      <c r="Y57" s="34">
        <f t="shared" si="14"/>
        <v>7586.6779245805683</v>
      </c>
      <c r="Z57" s="34">
        <f t="shared" si="14"/>
        <v>7608.8412753148568</v>
      </c>
    </row>
    <row r="58" spans="1:26">
      <c r="A58" s="133">
        <f>P49+Q49+D49</f>
        <v>1.1726177445841349E-2</v>
      </c>
      <c r="B58" s="26" t="s">
        <v>229</v>
      </c>
      <c r="C58" s="34">
        <f t="shared" si="15"/>
        <v>157.39820724528226</v>
      </c>
      <c r="D58" s="34">
        <f t="shared" si="13"/>
        <v>159.07091968669084</v>
      </c>
      <c r="E58" s="34">
        <f t="shared" si="13"/>
        <v>160.74363212809936</v>
      </c>
      <c r="F58" s="34">
        <f t="shared" si="13"/>
        <v>162.41634456950791</v>
      </c>
      <c r="G58" s="34">
        <f t="shared" si="13"/>
        <v>164.08905701091641</v>
      </c>
      <c r="H58" s="34">
        <f t="shared" si="13"/>
        <v>165.76176945232496</v>
      </c>
      <c r="I58" s="34">
        <f t="shared" si="13"/>
        <v>167.4344818937335</v>
      </c>
      <c r="J58" s="34">
        <f t="shared" si="13"/>
        <v>169.10719433514205</v>
      </c>
      <c r="K58" s="34">
        <f t="shared" si="13"/>
        <v>170.77990677655058</v>
      </c>
      <c r="L58" s="34">
        <f t="shared" si="13"/>
        <v>171.30008978552013</v>
      </c>
      <c r="M58" s="34">
        <f t="shared" si="13"/>
        <v>171.82027279448965</v>
      </c>
      <c r="N58" s="34">
        <f t="shared" si="13"/>
        <v>172.34045580345921</v>
      </c>
      <c r="O58" s="34">
        <f t="shared" si="13"/>
        <v>172.86063881242876</v>
      </c>
      <c r="P58" s="34">
        <f t="shared" si="13"/>
        <v>173.38082182139829</v>
      </c>
      <c r="Q58" s="34">
        <f t="shared" si="13"/>
        <v>173.90100483036784</v>
      </c>
      <c r="R58" s="34">
        <f t="shared" si="13"/>
        <v>174.42118783933739</v>
      </c>
      <c r="S58" s="34">
        <f t="shared" si="14"/>
        <v>174.94137084830692</v>
      </c>
      <c r="T58" s="34">
        <f t="shared" si="14"/>
        <v>175.46155385727647</v>
      </c>
      <c r="U58" s="34">
        <f t="shared" si="14"/>
        <v>175.98173686624602</v>
      </c>
      <c r="V58" s="34">
        <f t="shared" si="14"/>
        <v>176.50191987521555</v>
      </c>
      <c r="W58" s="34">
        <f t="shared" si="14"/>
        <v>177.0221028841851</v>
      </c>
      <c r="X58" s="34">
        <f t="shared" si="14"/>
        <v>177.54228589315466</v>
      </c>
      <c r="Y58" s="34">
        <f t="shared" si="14"/>
        <v>178.06246890212418</v>
      </c>
      <c r="Z58" s="34">
        <f t="shared" si="14"/>
        <v>178.58265191109373</v>
      </c>
    </row>
    <row r="59" spans="1:26">
      <c r="A59" s="133">
        <f>SUM(A53:A58)</f>
        <v>1.0000000000000053</v>
      </c>
      <c r="B59" s="53"/>
      <c r="C59" s="34">
        <f>C$44*$A59</f>
        <v>13422.806193428622</v>
      </c>
      <c r="D59" s="34">
        <f t="shared" ref="D59:Z59" si="16">D$44*$A59</f>
        <v>13565.45391039642</v>
      </c>
      <c r="E59" s="34">
        <f t="shared" si="16"/>
        <v>13708.101627364216</v>
      </c>
      <c r="F59" s="34">
        <f t="shared" si="16"/>
        <v>13850.749344332013</v>
      </c>
      <c r="G59" s="34">
        <f t="shared" si="16"/>
        <v>13993.397061299807</v>
      </c>
      <c r="H59" s="34">
        <f t="shared" si="16"/>
        <v>14136.044778267604</v>
      </c>
      <c r="I59" s="34">
        <f t="shared" si="16"/>
        <v>14278.692495235402</v>
      </c>
      <c r="J59" s="34">
        <f t="shared" si="16"/>
        <v>14421.340212203198</v>
      </c>
      <c r="K59" s="34">
        <f t="shared" si="16"/>
        <v>14563.987929170995</v>
      </c>
      <c r="L59" s="34">
        <f t="shared" si="16"/>
        <v>14608.348762986794</v>
      </c>
      <c r="M59" s="34">
        <f t="shared" si="16"/>
        <v>14652.709596802593</v>
      </c>
      <c r="N59" s="34">
        <f t="shared" si="16"/>
        <v>14697.070430618392</v>
      </c>
      <c r="O59" s="34">
        <f t="shared" si="16"/>
        <v>14741.431264434194</v>
      </c>
      <c r="P59" s="34">
        <f t="shared" si="16"/>
        <v>14785.792098249991</v>
      </c>
      <c r="Q59" s="34">
        <f t="shared" si="16"/>
        <v>14830.152932065792</v>
      </c>
      <c r="R59" s="34">
        <f t="shared" si="16"/>
        <v>14874.513765881591</v>
      </c>
      <c r="S59" s="34">
        <f t="shared" si="16"/>
        <v>14918.87459969739</v>
      </c>
      <c r="T59" s="34">
        <f t="shared" si="16"/>
        <v>14963.235433513189</v>
      </c>
      <c r="U59" s="34">
        <f t="shared" si="16"/>
        <v>15007.596267328991</v>
      </c>
      <c r="V59" s="34">
        <f t="shared" si="16"/>
        <v>15051.957101144788</v>
      </c>
      <c r="W59" s="34">
        <f t="shared" si="16"/>
        <v>15096.317934960589</v>
      </c>
      <c r="X59" s="34">
        <f t="shared" si="16"/>
        <v>15140.678768776388</v>
      </c>
      <c r="Y59" s="34">
        <f t="shared" si="16"/>
        <v>15185.039602592187</v>
      </c>
      <c r="Z59" s="34">
        <f t="shared" si="16"/>
        <v>15229.400436407986</v>
      </c>
    </row>
    <row r="61" spans="1:26">
      <c r="A61" s="26" t="s">
        <v>408</v>
      </c>
      <c r="G61"/>
      <c r="I61"/>
    </row>
    <row r="62" spans="1:26">
      <c r="B62" s="26" t="s">
        <v>585</v>
      </c>
      <c r="G62"/>
      <c r="I62"/>
    </row>
    <row r="63" spans="1:26">
      <c r="B63" s="250">
        <v>0.8</v>
      </c>
      <c r="C63">
        <f>B63*C44</f>
        <v>10738.24495474284</v>
      </c>
      <c r="G63"/>
      <c r="I63"/>
    </row>
    <row r="64" spans="1:26">
      <c r="A64" s="5" t="s">
        <v>367</v>
      </c>
      <c r="G64"/>
      <c r="I64"/>
    </row>
    <row r="65" spans="1:26">
      <c r="A65" s="26" t="s">
        <v>366</v>
      </c>
      <c r="B65" s="26" t="s">
        <v>411</v>
      </c>
      <c r="G65"/>
      <c r="I65"/>
    </row>
    <row r="66" spans="1:26">
      <c r="B66" s="249">
        <v>300</v>
      </c>
      <c r="C66" s="349">
        <f>$B$63*C53*$B$66</f>
        <v>735156.74781749595</v>
      </c>
      <c r="D66" s="349">
        <f t="shared" ref="D66:Z66" si="17">$B$63*D53*$B$66</f>
        <v>742969.45331129769</v>
      </c>
      <c r="E66" s="349">
        <f t="shared" si="17"/>
        <v>750782.15880509955</v>
      </c>
      <c r="F66" s="349">
        <f t="shared" si="17"/>
        <v>758594.86429890129</v>
      </c>
      <c r="G66" s="349">
        <f t="shared" si="17"/>
        <v>766407.56979270279</v>
      </c>
      <c r="H66" s="349">
        <f t="shared" si="17"/>
        <v>774220.27528650477</v>
      </c>
      <c r="I66" s="349">
        <f t="shared" si="17"/>
        <v>782032.98078030651</v>
      </c>
      <c r="J66" s="349">
        <f t="shared" si="17"/>
        <v>789845.68627410836</v>
      </c>
      <c r="K66" s="349">
        <f t="shared" si="17"/>
        <v>797658.39176790998</v>
      </c>
      <c r="L66" s="349">
        <f t="shared" si="17"/>
        <v>800088.00043904327</v>
      </c>
      <c r="M66" s="349">
        <f t="shared" si="17"/>
        <v>802517.60911017656</v>
      </c>
      <c r="N66" s="349">
        <f t="shared" si="17"/>
        <v>804947.21778130974</v>
      </c>
      <c r="O66" s="349">
        <f t="shared" si="17"/>
        <v>807376.82645244314</v>
      </c>
      <c r="P66" s="349">
        <f t="shared" si="17"/>
        <v>809806.43512357632</v>
      </c>
      <c r="Q66" s="349">
        <f t="shared" si="17"/>
        <v>812236.04379470961</v>
      </c>
      <c r="R66" s="349">
        <f t="shared" si="17"/>
        <v>814665.6524658429</v>
      </c>
      <c r="S66" s="349">
        <f t="shared" si="17"/>
        <v>817095.26113697619</v>
      </c>
      <c r="T66" s="349">
        <f t="shared" si="17"/>
        <v>819524.86980810936</v>
      </c>
      <c r="U66" s="349">
        <f t="shared" si="17"/>
        <v>821954.47847924277</v>
      </c>
      <c r="V66" s="349">
        <f t="shared" si="17"/>
        <v>824384.08715037594</v>
      </c>
      <c r="W66" s="349">
        <f t="shared" si="17"/>
        <v>826813.69582150923</v>
      </c>
      <c r="X66" s="349">
        <f t="shared" si="17"/>
        <v>829243.30449264252</v>
      </c>
      <c r="Y66" s="349">
        <f t="shared" si="17"/>
        <v>831672.91316377581</v>
      </c>
      <c r="Z66" s="349">
        <f t="shared" si="17"/>
        <v>834102.5218349091</v>
      </c>
    </row>
    <row r="67" spans="1:26">
      <c r="A67" s="26" t="s">
        <v>412</v>
      </c>
      <c r="G67"/>
      <c r="I67"/>
    </row>
    <row r="68" spans="1:26">
      <c r="A68" s="248">
        <v>0.06</v>
      </c>
      <c r="B68" s="54" t="s">
        <v>425</v>
      </c>
      <c r="D68" s="208">
        <f>D66*$A$68</f>
        <v>44578.16719867786</v>
      </c>
      <c r="E68" s="208">
        <f>E66*$A$68</f>
        <v>45046.929528305969</v>
      </c>
      <c r="F68" s="208">
        <f t="shared" ref="F68:Z68" si="18">F66*$A$68</f>
        <v>45515.691857934078</v>
      </c>
      <c r="G68" s="208">
        <f t="shared" si="18"/>
        <v>45984.454187562165</v>
      </c>
      <c r="H68" s="208">
        <f t="shared" si="18"/>
        <v>46453.216517190282</v>
      </c>
      <c r="I68" s="208">
        <f t="shared" si="18"/>
        <v>46921.978846818391</v>
      </c>
      <c r="J68" s="208">
        <f t="shared" si="18"/>
        <v>47390.7411764465</v>
      </c>
      <c r="K68" s="208">
        <f t="shared" si="18"/>
        <v>47859.503506074594</v>
      </c>
      <c r="L68" s="208">
        <f t="shared" si="18"/>
        <v>48005.280026342596</v>
      </c>
      <c r="M68" s="208">
        <f t="shared" si="18"/>
        <v>48151.056546610591</v>
      </c>
      <c r="N68" s="208">
        <f t="shared" si="18"/>
        <v>48296.833066878586</v>
      </c>
      <c r="O68" s="208">
        <f t="shared" si="18"/>
        <v>48442.609587146588</v>
      </c>
      <c r="P68" s="208">
        <f t="shared" si="18"/>
        <v>48588.386107414575</v>
      </c>
      <c r="Q68" s="208">
        <f t="shared" si="18"/>
        <v>48734.162627682577</v>
      </c>
      <c r="R68" s="208">
        <f t="shared" si="18"/>
        <v>48879.939147950572</v>
      </c>
      <c r="S68" s="208">
        <f t="shared" si="18"/>
        <v>49025.715668218567</v>
      </c>
      <c r="T68" s="208">
        <f t="shared" si="18"/>
        <v>49171.492188486562</v>
      </c>
      <c r="U68" s="208">
        <f t="shared" si="18"/>
        <v>49317.268708754564</v>
      </c>
      <c r="V68" s="208">
        <f t="shared" si="18"/>
        <v>49463.045229022551</v>
      </c>
      <c r="W68" s="208">
        <f t="shared" si="18"/>
        <v>49608.821749290553</v>
      </c>
      <c r="X68" s="208">
        <f t="shared" si="18"/>
        <v>49754.598269558548</v>
      </c>
      <c r="Y68" s="208">
        <f t="shared" si="18"/>
        <v>49900.37478982655</v>
      </c>
      <c r="Z68" s="208">
        <f t="shared" si="18"/>
        <v>50046.151310094545</v>
      </c>
    </row>
    <row r="69" spans="1:26">
      <c r="A69" s="248">
        <v>0.04</v>
      </c>
      <c r="B69" s="78" t="s">
        <v>418</v>
      </c>
      <c r="D69" s="208">
        <f>D66*$A$69</f>
        <v>29718.778132451909</v>
      </c>
      <c r="E69" s="208">
        <f>E66*$A$69</f>
        <v>30031.286352203984</v>
      </c>
      <c r="F69" s="208">
        <f t="shared" ref="F69:Z69" si="19">F66*$A$69</f>
        <v>30343.794571956052</v>
      </c>
      <c r="G69" s="208">
        <f t="shared" si="19"/>
        <v>30656.302791708113</v>
      </c>
      <c r="H69" s="208">
        <f t="shared" si="19"/>
        <v>30968.811011460191</v>
      </c>
      <c r="I69" s="208">
        <f t="shared" si="19"/>
        <v>31281.319231212259</v>
      </c>
      <c r="J69" s="208">
        <f t="shared" si="19"/>
        <v>31593.827450964334</v>
      </c>
      <c r="K69" s="208">
        <f t="shared" si="19"/>
        <v>31906.335670716398</v>
      </c>
      <c r="L69" s="208">
        <f t="shared" si="19"/>
        <v>32003.520017561732</v>
      </c>
      <c r="M69" s="208">
        <f t="shared" si="19"/>
        <v>32100.704364407062</v>
      </c>
      <c r="N69" s="208">
        <f t="shared" si="19"/>
        <v>32197.888711252392</v>
      </c>
      <c r="O69" s="208">
        <f t="shared" si="19"/>
        <v>32295.073058097725</v>
      </c>
      <c r="P69" s="208">
        <f t="shared" si="19"/>
        <v>32392.257404943055</v>
      </c>
      <c r="Q69" s="208">
        <f t="shared" si="19"/>
        <v>32489.441751788385</v>
      </c>
      <c r="R69" s="208">
        <f t="shared" si="19"/>
        <v>32586.626098633718</v>
      </c>
      <c r="S69" s="208">
        <f t="shared" si="19"/>
        <v>32683.810445479048</v>
      </c>
      <c r="T69" s="208">
        <f t="shared" si="19"/>
        <v>32780.994792324374</v>
      </c>
      <c r="U69" s="208">
        <f t="shared" si="19"/>
        <v>32878.179139169712</v>
      </c>
      <c r="V69" s="208">
        <f t="shared" si="19"/>
        <v>32975.363486015041</v>
      </c>
      <c r="W69" s="208">
        <f t="shared" si="19"/>
        <v>33072.547832860371</v>
      </c>
      <c r="X69" s="208">
        <f t="shared" si="19"/>
        <v>33169.732179705701</v>
      </c>
      <c r="Y69" s="208">
        <f t="shared" si="19"/>
        <v>33266.916526551031</v>
      </c>
      <c r="Z69" s="208">
        <f t="shared" si="19"/>
        <v>33364.100873396368</v>
      </c>
    </row>
    <row r="70" spans="1:26">
      <c r="A70" s="70"/>
      <c r="B70" s="26"/>
      <c r="G70"/>
      <c r="I70"/>
    </row>
    <row r="71" spans="1:26">
      <c r="A71" s="5" t="s">
        <v>277</v>
      </c>
      <c r="C71" s="465">
        <v>0.1368</v>
      </c>
      <c r="G71"/>
      <c r="I71"/>
    </row>
    <row r="72" spans="1:26">
      <c r="A72" s="5"/>
      <c r="C72" s="466">
        <v>17</v>
      </c>
      <c r="D72">
        <f>C72*(1+$C$71)</f>
        <v>19.325600000000001</v>
      </c>
      <c r="E72">
        <f t="shared" ref="E72:Z72" si="20">D72*(1+$C$71)</f>
        <v>21.969342080000001</v>
      </c>
      <c r="F72">
        <f t="shared" si="20"/>
        <v>24.974748076544003</v>
      </c>
      <c r="G72">
        <f t="shared" si="20"/>
        <v>28.391293613415222</v>
      </c>
      <c r="H72">
        <f t="shared" si="20"/>
        <v>32.275222579730425</v>
      </c>
      <c r="I72">
        <f t="shared" si="20"/>
        <v>36.690473028637548</v>
      </c>
      <c r="J72">
        <f t="shared" si="20"/>
        <v>41.709729738955168</v>
      </c>
      <c r="K72">
        <f t="shared" si="20"/>
        <v>47.415620767244235</v>
      </c>
      <c r="L72">
        <f t="shared" si="20"/>
        <v>53.902077688203249</v>
      </c>
      <c r="M72">
        <f t="shared" si="20"/>
        <v>61.275881915949455</v>
      </c>
      <c r="N72">
        <f t="shared" si="20"/>
        <v>69.658422562051342</v>
      </c>
      <c r="O72">
        <f t="shared" si="20"/>
        <v>79.18769476853997</v>
      </c>
      <c r="P72">
        <f t="shared" si="20"/>
        <v>90.020571412876237</v>
      </c>
      <c r="Q72">
        <f t="shared" si="20"/>
        <v>102.33538558215771</v>
      </c>
      <c r="R72">
        <f t="shared" si="20"/>
        <v>116.3348663297969</v>
      </c>
      <c r="S72">
        <f t="shared" si="20"/>
        <v>132.24947604371312</v>
      </c>
      <c r="T72">
        <f t="shared" si="20"/>
        <v>150.34120436649309</v>
      </c>
      <c r="U72">
        <f t="shared" si="20"/>
        <v>170.90788112382936</v>
      </c>
      <c r="V72">
        <f t="shared" si="20"/>
        <v>194.28807926156921</v>
      </c>
      <c r="W72">
        <f t="shared" si="20"/>
        <v>220.86668850455189</v>
      </c>
      <c r="X72">
        <f t="shared" si="20"/>
        <v>251.0812514919746</v>
      </c>
      <c r="Y72">
        <f t="shared" si="20"/>
        <v>285.42916669607672</v>
      </c>
      <c r="Z72">
        <f t="shared" si="20"/>
        <v>324.4758767001</v>
      </c>
    </row>
    <row r="73" spans="1:26">
      <c r="A73" s="5"/>
      <c r="G73"/>
      <c r="I73"/>
    </row>
    <row r="74" spans="1:26">
      <c r="A74" s="70" t="s">
        <v>366</v>
      </c>
      <c r="B74" s="26" t="s">
        <v>411</v>
      </c>
      <c r="C74" s="208"/>
      <c r="D74" s="208"/>
      <c r="E74" s="208"/>
      <c r="F74" s="208"/>
      <c r="G74" s="208"/>
      <c r="H74" s="208"/>
      <c r="I74" s="208"/>
      <c r="J74" s="208"/>
      <c r="K74" s="208"/>
      <c r="L74" s="208"/>
      <c r="M74" s="208"/>
      <c r="N74" s="208"/>
      <c r="O74" s="208"/>
      <c r="P74" s="208"/>
      <c r="Q74" s="208"/>
      <c r="R74" s="208"/>
      <c r="S74" s="208"/>
      <c r="T74" s="208"/>
      <c r="U74" s="208"/>
      <c r="V74" s="208"/>
      <c r="W74" s="208"/>
      <c r="X74" s="208"/>
      <c r="Y74" s="208"/>
      <c r="Z74" s="208"/>
    </row>
    <row r="75" spans="1:26">
      <c r="A75" s="70"/>
      <c r="B75" s="249">
        <v>300</v>
      </c>
      <c r="C75" s="349">
        <f>$B75*$B63*C72</f>
        <v>4080</v>
      </c>
      <c r="D75" s="349">
        <f t="shared" ref="D75:Z75" si="21">$B75*$B63*D72</f>
        <v>4638.1440000000002</v>
      </c>
      <c r="E75" s="349">
        <f t="shared" si="21"/>
        <v>5272.6420992000003</v>
      </c>
      <c r="F75" s="349">
        <f t="shared" si="21"/>
        <v>5993.9395383705605</v>
      </c>
      <c r="G75" s="349">
        <f t="shared" si="21"/>
        <v>6813.9104672196536</v>
      </c>
      <c r="H75" s="349">
        <f t="shared" si="21"/>
        <v>7746.0534191353017</v>
      </c>
      <c r="I75" s="349">
        <f t="shared" si="21"/>
        <v>8805.7135268730108</v>
      </c>
      <c r="J75" s="349">
        <f t="shared" si="21"/>
        <v>10010.335137349241</v>
      </c>
      <c r="K75" s="349">
        <f t="shared" si="21"/>
        <v>11379.748984138616</v>
      </c>
      <c r="L75" s="349">
        <f t="shared" si="21"/>
        <v>12936.49864516878</v>
      </c>
      <c r="M75" s="349">
        <f t="shared" si="21"/>
        <v>14706.21165982787</v>
      </c>
      <c r="N75" s="349">
        <f t="shared" si="21"/>
        <v>16718.021414892322</v>
      </c>
      <c r="O75" s="349">
        <f t="shared" si="21"/>
        <v>19005.046744449592</v>
      </c>
      <c r="P75" s="349">
        <f t="shared" si="21"/>
        <v>21604.937139090296</v>
      </c>
      <c r="Q75" s="349">
        <f t="shared" si="21"/>
        <v>24560.492539717852</v>
      </c>
      <c r="R75" s="349">
        <f t="shared" si="21"/>
        <v>27920.367919151257</v>
      </c>
      <c r="S75" s="349">
        <f t="shared" si="21"/>
        <v>31739.87425049115</v>
      </c>
      <c r="T75" s="349">
        <f t="shared" si="21"/>
        <v>36081.889047958342</v>
      </c>
      <c r="U75" s="349">
        <f t="shared" si="21"/>
        <v>41017.891469719048</v>
      </c>
      <c r="V75" s="349">
        <f t="shared" si="21"/>
        <v>46629.13902277661</v>
      </c>
      <c r="W75" s="349">
        <f t="shared" si="21"/>
        <v>53008.005241092455</v>
      </c>
      <c r="X75" s="349">
        <f t="shared" si="21"/>
        <v>60259.500358073907</v>
      </c>
      <c r="Y75" s="349">
        <f t="shared" si="21"/>
        <v>68503.000007058406</v>
      </c>
      <c r="Z75" s="349">
        <f t="shared" si="21"/>
        <v>77874.210408023995</v>
      </c>
    </row>
    <row r="76" spans="1:26">
      <c r="A76" s="70"/>
      <c r="B76" s="249"/>
      <c r="C76" s="349"/>
      <c r="D76" s="349"/>
      <c r="E76" s="349"/>
      <c r="F76" s="349"/>
      <c r="G76" s="349"/>
      <c r="H76" s="349"/>
      <c r="I76" s="349"/>
      <c r="J76" s="349"/>
      <c r="K76" s="349"/>
      <c r="L76" s="349"/>
      <c r="M76" s="349"/>
      <c r="N76" s="349"/>
      <c r="O76" s="349"/>
      <c r="P76" s="349"/>
      <c r="Q76" s="349"/>
      <c r="R76" s="349"/>
      <c r="S76" s="349"/>
      <c r="T76" s="349"/>
      <c r="U76" s="349"/>
      <c r="V76" s="349"/>
      <c r="W76" s="349"/>
      <c r="X76" s="349"/>
      <c r="Y76" s="349"/>
      <c r="Z76" s="349"/>
    </row>
    <row r="77" spans="1:26">
      <c r="A77" s="248">
        <v>0.05</v>
      </c>
      <c r="B77" s="54" t="s">
        <v>433</v>
      </c>
      <c r="D77" s="208">
        <f>D75*$A$77</f>
        <v>231.90720000000002</v>
      </c>
      <c r="E77" s="208">
        <f>E75*$A$77</f>
        <v>263.63210496000005</v>
      </c>
      <c r="F77" s="208">
        <f t="shared" ref="F77:Z77" si="22">F75*$A$77</f>
        <v>299.69697691852804</v>
      </c>
      <c r="G77" s="208">
        <f t="shared" si="22"/>
        <v>340.69552336098269</v>
      </c>
      <c r="H77" s="208">
        <f t="shared" si="22"/>
        <v>387.3026709567651</v>
      </c>
      <c r="I77" s="208">
        <f t="shared" si="22"/>
        <v>440.28567634365055</v>
      </c>
      <c r="J77" s="208">
        <f t="shared" si="22"/>
        <v>500.51675686746205</v>
      </c>
      <c r="K77" s="208">
        <f t="shared" si="22"/>
        <v>568.98744920693082</v>
      </c>
      <c r="L77" s="208">
        <f t="shared" si="22"/>
        <v>646.82493225843905</v>
      </c>
      <c r="M77" s="208">
        <f t="shared" si="22"/>
        <v>735.31058299139352</v>
      </c>
      <c r="N77" s="208">
        <f t="shared" si="22"/>
        <v>835.90107074461616</v>
      </c>
      <c r="O77" s="208">
        <f t="shared" si="22"/>
        <v>950.25233722247958</v>
      </c>
      <c r="P77" s="208">
        <f t="shared" si="22"/>
        <v>1080.2468569545149</v>
      </c>
      <c r="Q77" s="208">
        <f t="shared" si="22"/>
        <v>1228.0246269858926</v>
      </c>
      <c r="R77" s="208">
        <f t="shared" si="22"/>
        <v>1396.0183959575629</v>
      </c>
      <c r="S77" s="208">
        <f t="shared" si="22"/>
        <v>1586.9937125245576</v>
      </c>
      <c r="T77" s="208">
        <f t="shared" si="22"/>
        <v>1804.0944523979172</v>
      </c>
      <c r="U77" s="208">
        <f t="shared" si="22"/>
        <v>2050.8945734859526</v>
      </c>
      <c r="V77" s="208">
        <f t="shared" si="22"/>
        <v>2331.4569511388304</v>
      </c>
      <c r="W77" s="208">
        <f t="shared" si="22"/>
        <v>2650.400262054623</v>
      </c>
      <c r="X77" s="208">
        <f t="shared" si="22"/>
        <v>3012.9750179036955</v>
      </c>
      <c r="Y77" s="208">
        <f t="shared" si="22"/>
        <v>3425.1500003529204</v>
      </c>
      <c r="Z77" s="208">
        <f t="shared" si="22"/>
        <v>3893.7105204012</v>
      </c>
    </row>
    <row r="78" spans="1:26">
      <c r="A78" s="248">
        <v>0.04</v>
      </c>
      <c r="B78" s="78" t="s">
        <v>427</v>
      </c>
      <c r="D78" s="208">
        <f>D75*$A$78</f>
        <v>185.52576000000002</v>
      </c>
      <c r="E78" s="208">
        <f>E75*$A$78</f>
        <v>210.90568396800001</v>
      </c>
      <c r="F78" s="208">
        <f t="shared" ref="F78:Z78" si="23">F75*$A$78</f>
        <v>239.75758153482244</v>
      </c>
      <c r="G78" s="208">
        <f t="shared" si="23"/>
        <v>272.55641868878615</v>
      </c>
      <c r="H78" s="208">
        <f t="shared" si="23"/>
        <v>309.84213676541208</v>
      </c>
      <c r="I78" s="208">
        <f t="shared" si="23"/>
        <v>352.22854107492043</v>
      </c>
      <c r="J78" s="208">
        <f t="shared" si="23"/>
        <v>400.41340549396961</v>
      </c>
      <c r="K78" s="208">
        <f t="shared" si="23"/>
        <v>455.18995936554467</v>
      </c>
      <c r="L78" s="208">
        <f t="shared" si="23"/>
        <v>517.45994580675119</v>
      </c>
      <c r="M78" s="208">
        <f t="shared" si="23"/>
        <v>588.24846639311477</v>
      </c>
      <c r="N78" s="208">
        <f t="shared" si="23"/>
        <v>668.72085659569291</v>
      </c>
      <c r="O78" s="208">
        <f t="shared" si="23"/>
        <v>760.20186977798369</v>
      </c>
      <c r="P78" s="208">
        <f t="shared" si="23"/>
        <v>864.19748556361185</v>
      </c>
      <c r="Q78" s="208">
        <f t="shared" si="23"/>
        <v>982.41970158871413</v>
      </c>
      <c r="R78" s="208">
        <f t="shared" si="23"/>
        <v>1116.8147167660502</v>
      </c>
      <c r="S78" s="208">
        <f t="shared" si="23"/>
        <v>1269.5949700196461</v>
      </c>
      <c r="T78" s="208">
        <f t="shared" si="23"/>
        <v>1443.2755619183338</v>
      </c>
      <c r="U78" s="208">
        <f t="shared" si="23"/>
        <v>1640.7156587887621</v>
      </c>
      <c r="V78" s="208">
        <f t="shared" si="23"/>
        <v>1865.1655609110644</v>
      </c>
      <c r="W78" s="208">
        <f t="shared" si="23"/>
        <v>2120.320209643698</v>
      </c>
      <c r="X78" s="208">
        <f t="shared" si="23"/>
        <v>2410.3800143229564</v>
      </c>
      <c r="Y78" s="208">
        <f t="shared" si="23"/>
        <v>2740.1200002823362</v>
      </c>
      <c r="Z78" s="208">
        <f t="shared" si="23"/>
        <v>3114.9684163209599</v>
      </c>
    </row>
    <row r="90" spans="1:10" ht="15.75">
      <c r="A90" s="526" t="s">
        <v>353</v>
      </c>
      <c r="B90" s="526"/>
      <c r="C90" s="526"/>
      <c r="D90" s="526"/>
      <c r="E90" s="526"/>
      <c r="F90" s="526"/>
    </row>
    <row r="91" spans="1:10" ht="15.75">
      <c r="A91" s="526" t="s">
        <v>354</v>
      </c>
      <c r="B91" s="526"/>
      <c r="C91" s="526"/>
      <c r="D91" s="526"/>
      <c r="E91" s="526"/>
      <c r="F91" s="526"/>
      <c r="G91" s="200" t="s">
        <v>355</v>
      </c>
      <c r="I91" s="200" t="s">
        <v>356</v>
      </c>
    </row>
    <row r="92" spans="1:10">
      <c r="G92" s="200" t="s">
        <v>358</v>
      </c>
      <c r="H92" s="200" t="s">
        <v>357</v>
      </c>
      <c r="J92" s="200" t="s">
        <v>357</v>
      </c>
    </row>
    <row r="93" spans="1:10" s="76" customFormat="1" ht="15">
      <c r="A93" s="205"/>
      <c r="B93" s="207"/>
      <c r="C93" s="207"/>
      <c r="D93" s="207"/>
      <c r="E93" s="207"/>
      <c r="F93" s="207"/>
      <c r="G93" s="207"/>
      <c r="H93" s="209">
        <v>6.2199999999999998E-3</v>
      </c>
      <c r="I93" s="207"/>
      <c r="J93" s="209">
        <v>2.1600000000000001E-2</v>
      </c>
    </row>
    <row r="94" spans="1:10" ht="15">
      <c r="A94" s="192" t="s">
        <v>343</v>
      </c>
      <c r="B94" s="186" t="s">
        <v>344</v>
      </c>
      <c r="C94" s="187" t="s">
        <v>345</v>
      </c>
      <c r="D94" s="188">
        <v>10333</v>
      </c>
      <c r="E94" s="186">
        <v>11625</v>
      </c>
      <c r="F94" s="187">
        <v>14395</v>
      </c>
      <c r="G94" s="74">
        <f>E94-D94</f>
        <v>1292</v>
      </c>
      <c r="H94" s="208">
        <f>D94*((1+H93)^19)</f>
        <v>11624.984689295301</v>
      </c>
      <c r="I94" s="74">
        <f>F94-E94</f>
        <v>2770</v>
      </c>
      <c r="J94" s="208">
        <f>E94*((1+J93)^10)</f>
        <v>14394.673017995265</v>
      </c>
    </row>
    <row r="95" spans="1:10" ht="15">
      <c r="A95" s="201"/>
      <c r="B95" s="202"/>
      <c r="C95" s="203"/>
      <c r="D95" s="204"/>
      <c r="E95" s="202"/>
      <c r="F95" s="203"/>
      <c r="H95" s="209">
        <v>8.7100000000000007E-3</v>
      </c>
      <c r="J95" s="209">
        <v>3.2660000000000002E-2</v>
      </c>
    </row>
    <row r="96" spans="1:10" ht="15.75" thickBot="1">
      <c r="A96" s="194"/>
      <c r="B96" s="195" t="s">
        <v>346</v>
      </c>
      <c r="C96" s="196" t="s">
        <v>347</v>
      </c>
      <c r="D96" s="197">
        <v>5431</v>
      </c>
      <c r="E96" s="195">
        <v>6404</v>
      </c>
      <c r="F96" s="196">
        <v>8831</v>
      </c>
      <c r="G96" s="74">
        <f>E96-D96</f>
        <v>973</v>
      </c>
      <c r="H96" s="208">
        <f>D96*((1+H95)^19)</f>
        <v>6403.8330674172666</v>
      </c>
      <c r="I96" s="74">
        <f>F96-E96</f>
        <v>2427</v>
      </c>
      <c r="J96" s="208">
        <f>E96*((1+J95)^10)</f>
        <v>8831.304780076649</v>
      </c>
    </row>
    <row r="97" spans="1:2" ht="13.5" thickTop="1"/>
    <row r="98" spans="1:2">
      <c r="B98" s="198"/>
    </row>
    <row r="99" spans="1:2">
      <c r="A99" t="s">
        <v>348</v>
      </c>
      <c r="B99" s="198"/>
    </row>
    <row r="100" spans="1:2">
      <c r="A100" t="s">
        <v>349</v>
      </c>
    </row>
    <row r="101" spans="1:2">
      <c r="A101" t="s">
        <v>350</v>
      </c>
    </row>
    <row r="102" spans="1:2">
      <c r="A102" t="s">
        <v>351</v>
      </c>
    </row>
  </sheetData>
  <mergeCells count="5">
    <mergeCell ref="A36:A37"/>
    <mergeCell ref="B36:E36"/>
    <mergeCell ref="F36:I36"/>
    <mergeCell ref="A90:F90"/>
    <mergeCell ref="A91:F91"/>
  </mergeCells>
  <pageMargins left="0.7" right="0.7" top="0.75" bottom="0.75" header="0.3" footer="0.3"/>
</worksheet>
</file>

<file path=xl/worksheets/sheet4.xml><?xml version="1.0" encoding="utf-8"?>
<worksheet xmlns="http://schemas.openxmlformats.org/spreadsheetml/2006/main" xmlns:r="http://schemas.openxmlformats.org/officeDocument/2006/relationships">
  <sheetPr>
    <pageSetUpPr fitToPage="1"/>
  </sheetPr>
  <dimension ref="A1:BK368"/>
  <sheetViews>
    <sheetView topLeftCell="A211" zoomScale="60" zoomScaleNormal="60" workbookViewId="0">
      <selection activeCell="C260" sqref="C260"/>
    </sheetView>
  </sheetViews>
  <sheetFormatPr defaultRowHeight="12.75"/>
  <cols>
    <col min="1" max="1" width="18.28515625" customWidth="1"/>
    <col min="2" max="2" width="23.140625" customWidth="1"/>
    <col min="3" max="3" width="52.140625" style="53" customWidth="1"/>
    <col min="4" max="4" width="14.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v>-92400</v>
      </c>
      <c r="K5" s="312">
        <v>-92400</v>
      </c>
      <c r="L5" s="312">
        <v>-92400</v>
      </c>
      <c r="M5" s="312">
        <v>-92400</v>
      </c>
      <c r="N5" s="312">
        <v>-92400</v>
      </c>
      <c r="O5" s="312">
        <v>-92400</v>
      </c>
      <c r="P5" s="312">
        <v>-92400</v>
      </c>
      <c r="Q5" s="312">
        <v>-92400</v>
      </c>
      <c r="R5" s="312">
        <v>-92400</v>
      </c>
      <c r="S5" s="312">
        <v>-92400</v>
      </c>
      <c r="T5" s="312">
        <v>-92400</v>
      </c>
      <c r="U5" s="312">
        <v>-92400</v>
      </c>
      <c r="V5" s="312">
        <v>-92400</v>
      </c>
      <c r="W5" s="312">
        <v>-92400</v>
      </c>
      <c r="X5" s="312">
        <v>-92400</v>
      </c>
      <c r="Y5" s="312">
        <v>-92400</v>
      </c>
      <c r="Z5" s="312">
        <v>-92400</v>
      </c>
      <c r="AA5" s="312">
        <v>-92400</v>
      </c>
      <c r="AB5" s="312">
        <v>-92400</v>
      </c>
      <c r="AC5" s="407">
        <v>-92400</v>
      </c>
      <c r="AD5" s="359">
        <f>SUM(F5:AC5)</f>
        <v>-1848000</v>
      </c>
    </row>
    <row r="6" spans="1:33">
      <c r="A6" s="44"/>
      <c r="B6" s="44"/>
      <c r="C6" s="55" t="s">
        <v>404</v>
      </c>
      <c r="D6" s="226"/>
      <c r="E6" s="234"/>
      <c r="F6" s="312">
        <v>-1110000</v>
      </c>
      <c r="G6" s="312">
        <v>-3630000</v>
      </c>
      <c r="H6" s="312">
        <v>-4543333.3333333302</v>
      </c>
      <c r="I6" s="312">
        <v>-6620625</v>
      </c>
      <c r="J6" s="312">
        <v>-1696041.66666667</v>
      </c>
      <c r="K6" s="312"/>
      <c r="L6" s="312"/>
      <c r="M6" s="312"/>
      <c r="N6" s="312"/>
      <c r="O6" s="312"/>
      <c r="P6" s="312"/>
      <c r="Q6" s="312"/>
      <c r="R6" s="312"/>
      <c r="S6" s="312"/>
      <c r="T6" s="312"/>
      <c r="U6" s="312"/>
      <c r="V6" s="312"/>
      <c r="W6" s="312"/>
      <c r="X6" s="312"/>
      <c r="Y6" s="312"/>
      <c r="Z6" s="312"/>
      <c r="AA6" s="312"/>
      <c r="AB6" s="312"/>
      <c r="AC6" s="407"/>
      <c r="AD6" s="359">
        <f t="shared" ref="AD6:AD69" si="0">SUM(F6:AC6)</f>
        <v>-17600000</v>
      </c>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si="0"/>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59"/>
      <c r="AC9" s="283"/>
      <c r="AD9" s="361">
        <f t="shared" si="0"/>
        <v>0</v>
      </c>
    </row>
    <row r="10" spans="1:33" s="53" customFormat="1" ht="12">
      <c r="A10" s="58"/>
      <c r="B10" s="70" t="s">
        <v>463</v>
      </c>
      <c r="C10" s="70" t="s">
        <v>366</v>
      </c>
      <c r="D10" s="228"/>
      <c r="E10" s="235"/>
      <c r="F10" s="59">
        <f>'FG Users'!C6</f>
        <v>0</v>
      </c>
      <c r="G10" s="59">
        <f>'FG Users'!D6</f>
        <v>0</v>
      </c>
      <c r="H10" s="59">
        <f>'FG Users'!E6</f>
        <v>0</v>
      </c>
      <c r="I10" s="59">
        <f>'FG Users'!F6</f>
        <v>0</v>
      </c>
      <c r="J10" s="59">
        <f>'FG Users'!G6</f>
        <v>198905.00058314053</v>
      </c>
      <c r="K10" s="59">
        <f>'FG Users'!H6</f>
        <v>275077.65960646002</v>
      </c>
      <c r="L10" s="59">
        <f>'FG Users'!I6</f>
        <v>285316.05009701248</v>
      </c>
      <c r="M10" s="59">
        <f>'FG Users'!J6</f>
        <v>295935.51348162332</v>
      </c>
      <c r="N10" s="59">
        <f>'FG Users'!K6</f>
        <v>306950.23329340934</v>
      </c>
      <c r="O10" s="59">
        <f>'FG Users'!L6</f>
        <v>307177.37646604644</v>
      </c>
      <c r="P10" s="59">
        <f>'FG Users'!M6</f>
        <v>307404.68772463134</v>
      </c>
      <c r="Q10" s="59">
        <f>'FG Users'!N6</f>
        <v>307632.16719354753</v>
      </c>
      <c r="R10" s="59">
        <f>'FG Users'!O6</f>
        <v>307859.81499727076</v>
      </c>
      <c r="S10" s="59">
        <f>'FG Users'!P6</f>
        <v>308087.63126036874</v>
      </c>
      <c r="T10" s="59">
        <f>'FG Users'!Q6</f>
        <v>308315.61610750132</v>
      </c>
      <c r="U10" s="59">
        <f>'FG Users'!R6</f>
        <v>308543.76966342091</v>
      </c>
      <c r="V10" s="59">
        <f>'FG Users'!S6</f>
        <v>308772.09205297183</v>
      </c>
      <c r="W10" s="59">
        <f>'FG Users'!T6</f>
        <v>309000.58340109099</v>
      </c>
      <c r="X10" s="59">
        <f>'FG Users'!U6</f>
        <v>309229.24383280781</v>
      </c>
      <c r="Y10" s="59">
        <f>'FG Users'!V6</f>
        <v>309458.07347324403</v>
      </c>
      <c r="Z10" s="59">
        <f>'FG Users'!W6</f>
        <v>309687.07244761434</v>
      </c>
      <c r="AA10" s="59">
        <f>'FG Users'!X6</f>
        <v>309916.24088122544</v>
      </c>
      <c r="AB10" s="59">
        <f>'FG Users'!Y6</f>
        <v>310145.57889947761</v>
      </c>
      <c r="AC10" s="284">
        <f>'FG Users'!Z6</f>
        <v>310375.08662786317</v>
      </c>
      <c r="AD10" s="362">
        <f t="shared" si="0"/>
        <v>5993789.4920907281</v>
      </c>
    </row>
    <row r="11" spans="1:33" s="53" customFormat="1" ht="12">
      <c r="A11" s="58"/>
      <c r="B11" s="70" t="s">
        <v>462</v>
      </c>
      <c r="C11" s="54" t="s">
        <v>431</v>
      </c>
      <c r="D11" s="228"/>
      <c r="E11" s="235"/>
      <c r="F11" s="45"/>
      <c r="H11" s="59"/>
      <c r="I11" s="59">
        <f>'FG Users'!F7</f>
        <v>0</v>
      </c>
      <c r="J11" s="59">
        <f>'FG Users'!G7</f>
        <v>9945.2500291570286</v>
      </c>
      <c r="K11" s="59">
        <f>'FG Users'!H7</f>
        <v>13753.882980323002</v>
      </c>
      <c r="L11" s="59">
        <f>'FG Users'!I7</f>
        <v>14265.802504850624</v>
      </c>
      <c r="M11" s="59">
        <f>'FG Users'!J7</f>
        <v>14796.775674081167</v>
      </c>
      <c r="N11" s="59">
        <f>'FG Users'!K7</f>
        <v>15347.511664670468</v>
      </c>
      <c r="O11" s="59">
        <f>'FG Users'!L7</f>
        <v>15358.868823302322</v>
      </c>
      <c r="P11" s="59">
        <f>'FG Users'!M7</f>
        <v>15370.234386231568</v>
      </c>
      <c r="Q11" s="59">
        <f>'FG Users'!N7</f>
        <v>15381.608359677377</v>
      </c>
      <c r="R11" s="59">
        <f>'FG Users'!O7</f>
        <v>15392.990749863538</v>
      </c>
      <c r="S11" s="59">
        <f>'FG Users'!P7</f>
        <v>15404.381563018438</v>
      </c>
      <c r="T11" s="59">
        <f>'FG Users'!Q7</f>
        <v>15415.780805375067</v>
      </c>
      <c r="U11" s="59">
        <f>'FG Users'!R7</f>
        <v>15427.188483171047</v>
      </c>
      <c r="V11" s="59">
        <f>'FG Users'!S7</f>
        <v>15438.604602648593</v>
      </c>
      <c r="W11" s="59">
        <f>'FG Users'!T7</f>
        <v>15450.029170054549</v>
      </c>
      <c r="X11" s="59">
        <f>'FG Users'!U7</f>
        <v>15461.462191640392</v>
      </c>
      <c r="Y11" s="59">
        <f>'FG Users'!V7</f>
        <v>15472.903673662202</v>
      </c>
      <c r="Z11" s="59">
        <f>'FG Users'!W7</f>
        <v>15484.353622380717</v>
      </c>
      <c r="AA11" s="59">
        <f>'FG Users'!X7</f>
        <v>15495.812044061273</v>
      </c>
      <c r="AB11" s="59">
        <f>'FG Users'!Y7</f>
        <v>15507.278944973881</v>
      </c>
      <c r="AC11" s="284">
        <f>'FG Users'!Z7</f>
        <v>15518.75433139316</v>
      </c>
      <c r="AD11" s="362">
        <f t="shared" si="0"/>
        <v>299689.47460453643</v>
      </c>
    </row>
    <row r="12" spans="1:33" s="53" customFormat="1" ht="12">
      <c r="A12" s="58"/>
      <c r="B12" s="70"/>
      <c r="C12" s="78" t="s">
        <v>418</v>
      </c>
      <c r="D12" s="228"/>
      <c r="E12" s="235"/>
      <c r="F12" s="45"/>
      <c r="H12" s="59"/>
      <c r="I12" s="59">
        <f>'FG Users'!F8</f>
        <v>0</v>
      </c>
      <c r="J12" s="59">
        <f>'FG Users'!G8</f>
        <v>9945.2500291570286</v>
      </c>
      <c r="K12" s="59">
        <f>'FG Users'!H8</f>
        <v>13753.882980323002</v>
      </c>
      <c r="L12" s="59">
        <f>'FG Users'!I8</f>
        <v>14265.802504850624</v>
      </c>
      <c r="M12" s="59">
        <f>'FG Users'!J8</f>
        <v>14796.775674081167</v>
      </c>
      <c r="N12" s="59">
        <f>'FG Users'!K8</f>
        <v>15347.511664670468</v>
      </c>
      <c r="O12" s="59">
        <f>'FG Users'!L8</f>
        <v>15358.868823302322</v>
      </c>
      <c r="P12" s="59">
        <f>'FG Users'!M8</f>
        <v>15370.234386231568</v>
      </c>
      <c r="Q12" s="59">
        <f>'FG Users'!N8</f>
        <v>15381.608359677377</v>
      </c>
      <c r="R12" s="59">
        <f>'FG Users'!O8</f>
        <v>15392.990749863538</v>
      </c>
      <c r="S12" s="59">
        <f>'FG Users'!P8</f>
        <v>15404.381563018438</v>
      </c>
      <c r="T12" s="59">
        <f>'FG Users'!Q8</f>
        <v>15415.780805375067</v>
      </c>
      <c r="U12" s="59">
        <f>'FG Users'!R8</f>
        <v>15427.188483171047</v>
      </c>
      <c r="V12" s="59">
        <f>'FG Users'!S8</f>
        <v>15438.604602648593</v>
      </c>
      <c r="W12" s="59">
        <f>'FG Users'!T8</f>
        <v>15450.029170054549</v>
      </c>
      <c r="X12" s="59">
        <f>'FG Users'!U8</f>
        <v>15461.462191640392</v>
      </c>
      <c r="Y12" s="59">
        <f>'FG Users'!V8</f>
        <v>15472.903673662202</v>
      </c>
      <c r="Z12" s="59">
        <f>'FG Users'!W8</f>
        <v>15484.353622380717</v>
      </c>
      <c r="AA12" s="59">
        <f>'FG Users'!X8</f>
        <v>15495.812044061273</v>
      </c>
      <c r="AB12" s="59">
        <f>'FG Users'!Y8</f>
        <v>15507.278944973881</v>
      </c>
      <c r="AC12" s="284">
        <f>'FG Users'!Z8</f>
        <v>15518.75433139316</v>
      </c>
      <c r="AD12" s="362">
        <f t="shared" si="0"/>
        <v>299689.47460453643</v>
      </c>
    </row>
    <row r="13" spans="1:33" s="53" customFormat="1" ht="12">
      <c r="A13" s="58"/>
      <c r="B13" s="70"/>
      <c r="D13" s="228"/>
      <c r="E13" s="235"/>
      <c r="H13" s="59"/>
      <c r="I13" s="59"/>
      <c r="J13" s="59"/>
      <c r="K13" s="59"/>
      <c r="L13" s="59"/>
      <c r="M13" s="59"/>
      <c r="N13" s="59"/>
      <c r="O13" s="59"/>
      <c r="P13" s="59"/>
      <c r="Q13" s="59"/>
      <c r="R13" s="59"/>
      <c r="S13" s="59"/>
      <c r="T13" s="59"/>
      <c r="U13" s="59"/>
      <c r="V13" s="59"/>
      <c r="W13" s="59"/>
      <c r="X13" s="59"/>
      <c r="Y13" s="59"/>
      <c r="Z13" s="59"/>
      <c r="AA13" s="59"/>
      <c r="AB13" s="59"/>
      <c r="AC13" s="284"/>
      <c r="AD13" s="362">
        <f t="shared" si="0"/>
        <v>0</v>
      </c>
    </row>
    <row r="14" spans="1:33" s="53" customFormat="1" ht="12">
      <c r="A14" s="58"/>
      <c r="B14" s="5" t="s">
        <v>277</v>
      </c>
      <c r="D14" s="228"/>
      <c r="E14" s="235"/>
      <c r="H14" s="59"/>
      <c r="I14" s="59"/>
      <c r="J14" s="59"/>
      <c r="K14" s="59"/>
      <c r="L14" s="59"/>
      <c r="M14" s="59"/>
      <c r="N14" s="59"/>
      <c r="O14" s="59"/>
      <c r="P14" s="59"/>
      <c r="Q14" s="59"/>
      <c r="R14" s="59"/>
      <c r="S14" s="59"/>
      <c r="T14" s="59"/>
      <c r="U14" s="59"/>
      <c r="V14" s="59"/>
      <c r="W14" s="59"/>
      <c r="X14" s="59"/>
      <c r="Y14" s="59"/>
      <c r="Z14" s="59"/>
      <c r="AA14" s="59"/>
      <c r="AB14" s="59"/>
      <c r="AC14" s="284"/>
      <c r="AD14" s="362">
        <f t="shared" si="0"/>
        <v>0</v>
      </c>
    </row>
    <row r="15" spans="1:33" s="53" customFormat="1" ht="12">
      <c r="A15" s="58"/>
      <c r="B15" s="70" t="s">
        <v>463</v>
      </c>
      <c r="C15" s="70" t="s">
        <v>366</v>
      </c>
      <c r="D15" s="228"/>
      <c r="E15" s="235"/>
      <c r="F15" s="59">
        <f>'FG Users'!C12</f>
        <v>0</v>
      </c>
      <c r="G15" s="59">
        <f>'FG Users'!D12</f>
        <v>0</v>
      </c>
      <c r="H15" s="59">
        <f>'FG Users'!E12</f>
        <v>0</v>
      </c>
      <c r="I15" s="59">
        <f>'FG Users'!F12</f>
        <v>0</v>
      </c>
      <c r="J15" s="59">
        <f>'FG Users'!G12</f>
        <v>3871.04959569941</v>
      </c>
      <c r="K15" s="59">
        <f>'FG Users'!H12</f>
        <v>5353.5067488684554</v>
      </c>
      <c r="L15" s="59">
        <f>'FG Users'!I12</f>
        <v>5552.7642700613387</v>
      </c>
      <c r="M15" s="59">
        <f>'FG Users'!J12</f>
        <v>5759.4381561930222</v>
      </c>
      <c r="N15" s="59">
        <f>'FG Users'!K12</f>
        <v>5973.8044443665267</v>
      </c>
      <c r="O15" s="59">
        <f>'FG Users'!L12</f>
        <v>5978.2250596553586</v>
      </c>
      <c r="P15" s="59">
        <f>'FG Users'!M12</f>
        <v>5982.6489461995034</v>
      </c>
      <c r="Q15" s="59">
        <f>'FG Users'!N12</f>
        <v>5987.0761064196904</v>
      </c>
      <c r="R15" s="59">
        <f>'FG Users'!O12</f>
        <v>5991.5065427384407</v>
      </c>
      <c r="S15" s="59">
        <f>'FG Users'!P12</f>
        <v>5995.9402575800668</v>
      </c>
      <c r="T15" s="59">
        <f>'FG Users'!Q12</f>
        <v>6000.377253370677</v>
      </c>
      <c r="U15" s="59">
        <f>'FG Users'!R12</f>
        <v>6004.8175325381708</v>
      </c>
      <c r="V15" s="59">
        <f>'FG Users'!S12</f>
        <v>6009.2610975122489</v>
      </c>
      <c r="W15" s="59">
        <f>'FG Users'!T12</f>
        <v>6013.7079507244071</v>
      </c>
      <c r="X15" s="59">
        <f>'FG Users'!U12</f>
        <v>6018.158094607943</v>
      </c>
      <c r="Y15" s="59">
        <f>'FG Users'!V12</f>
        <v>6022.6115315979523</v>
      </c>
      <c r="Z15" s="59">
        <f>'FG Users'!W12</f>
        <v>6027.0682641313351</v>
      </c>
      <c r="AA15" s="59">
        <f>'FG Users'!X12</f>
        <v>6031.5282946467923</v>
      </c>
      <c r="AB15" s="59">
        <f>'FG Users'!Y12</f>
        <v>6035.9916255848302</v>
      </c>
      <c r="AC15" s="284">
        <f>'FG Users'!Z12</f>
        <v>6040.4582593877622</v>
      </c>
      <c r="AD15" s="362">
        <f t="shared" si="0"/>
        <v>116649.94003188395</v>
      </c>
      <c r="AG15" s="390"/>
    </row>
    <row r="16" spans="1:33" s="53" customFormat="1" ht="12">
      <c r="A16" s="58"/>
      <c r="B16" s="70" t="s">
        <v>462</v>
      </c>
      <c r="C16" s="54" t="s">
        <v>433</v>
      </c>
      <c r="D16" s="228"/>
      <c r="E16" s="235"/>
      <c r="H16" s="59"/>
      <c r="I16" s="59">
        <f>'FG Users'!F13</f>
        <v>0</v>
      </c>
      <c r="J16" s="59">
        <f>'FG Users'!G13</f>
        <v>193.5524797849705</v>
      </c>
      <c r="K16" s="59">
        <f>'FG Users'!H13</f>
        <v>267.67533744342279</v>
      </c>
      <c r="L16" s="59">
        <f>'FG Users'!I13</f>
        <v>277.63821350306694</v>
      </c>
      <c r="M16" s="59">
        <f>'FG Users'!J13</f>
        <v>287.9719078096511</v>
      </c>
      <c r="N16" s="59">
        <f>'FG Users'!K13</f>
        <v>298.69022221832637</v>
      </c>
      <c r="O16" s="59">
        <f>'FG Users'!L13</f>
        <v>298.91125298276796</v>
      </c>
      <c r="P16" s="59">
        <f>'FG Users'!M13</f>
        <v>299.13244730997519</v>
      </c>
      <c r="Q16" s="59">
        <f>'FG Users'!N13</f>
        <v>299.35380532098452</v>
      </c>
      <c r="R16" s="59">
        <f>'FG Users'!O13</f>
        <v>299.57532713692206</v>
      </c>
      <c r="S16" s="59">
        <f>'FG Users'!P13</f>
        <v>299.79701287900338</v>
      </c>
      <c r="T16" s="59">
        <f>'FG Users'!Q13</f>
        <v>300.01886266853387</v>
      </c>
      <c r="U16" s="59">
        <f>'FG Users'!R13</f>
        <v>300.24087662690857</v>
      </c>
      <c r="V16" s="59">
        <f>'FG Users'!S13</f>
        <v>300.46305487561244</v>
      </c>
      <c r="W16" s="59">
        <f>'FG Users'!T13</f>
        <v>300.68539753622036</v>
      </c>
      <c r="X16" s="59">
        <f>'FG Users'!U13</f>
        <v>300.90790473039715</v>
      </c>
      <c r="Y16" s="59">
        <f>'FG Users'!V13</f>
        <v>301.13057657989765</v>
      </c>
      <c r="Z16" s="59">
        <f>'FG Users'!W13</f>
        <v>301.35341320656676</v>
      </c>
      <c r="AA16" s="59">
        <f>'FG Users'!X13</f>
        <v>301.57641473233963</v>
      </c>
      <c r="AB16" s="59">
        <f>'FG Users'!Y13</f>
        <v>301.79958127924152</v>
      </c>
      <c r="AC16" s="284">
        <f>'FG Users'!Z13</f>
        <v>302.02291296938813</v>
      </c>
      <c r="AD16" s="362">
        <f t="shared" si="0"/>
        <v>5832.4970015941981</v>
      </c>
      <c r="AG16" s="390"/>
    </row>
    <row r="17" spans="1:33" s="53" customFormat="1" ht="12">
      <c r="A17" s="58"/>
      <c r="B17" s="70"/>
      <c r="C17" s="78" t="s">
        <v>427</v>
      </c>
      <c r="D17" s="228"/>
      <c r="E17" s="235"/>
      <c r="H17" s="59"/>
      <c r="I17" s="59">
        <f>'FG Users'!F14</f>
        <v>0</v>
      </c>
      <c r="J17" s="59">
        <f>'FG Users'!G14</f>
        <v>193.5524797849705</v>
      </c>
      <c r="K17" s="59">
        <f>'FG Users'!H14</f>
        <v>267.67533744342279</v>
      </c>
      <c r="L17" s="59">
        <f>'FG Users'!I14</f>
        <v>277.63821350306694</v>
      </c>
      <c r="M17" s="59">
        <f>'FG Users'!J14</f>
        <v>287.9719078096511</v>
      </c>
      <c r="N17" s="59">
        <f>'FG Users'!K14</f>
        <v>298.69022221832637</v>
      </c>
      <c r="O17" s="59">
        <f>'FG Users'!L14</f>
        <v>298.91125298276796</v>
      </c>
      <c r="P17" s="59">
        <f>'FG Users'!M14</f>
        <v>299.13244730997519</v>
      </c>
      <c r="Q17" s="59">
        <f>'FG Users'!N14</f>
        <v>299.35380532098452</v>
      </c>
      <c r="R17" s="59">
        <f>'FG Users'!O14</f>
        <v>299.57532713692206</v>
      </c>
      <c r="S17" s="59">
        <f>'FG Users'!P14</f>
        <v>299.79701287900338</v>
      </c>
      <c r="T17" s="59">
        <f>'FG Users'!Q14</f>
        <v>300.01886266853387</v>
      </c>
      <c r="U17" s="59">
        <f>'FG Users'!R14</f>
        <v>300.24087662690857</v>
      </c>
      <c r="V17" s="59">
        <f>'FG Users'!S14</f>
        <v>300.46305487561244</v>
      </c>
      <c r="W17" s="59">
        <f>'FG Users'!T14</f>
        <v>300.68539753622036</v>
      </c>
      <c r="X17" s="59">
        <f>'FG Users'!U14</f>
        <v>300.90790473039715</v>
      </c>
      <c r="Y17" s="59">
        <f>'FG Users'!V14</f>
        <v>301.13057657989765</v>
      </c>
      <c r="Z17" s="59">
        <f>'FG Users'!W14</f>
        <v>301.35341320656676</v>
      </c>
      <c r="AA17" s="59">
        <f>'FG Users'!X14</f>
        <v>301.57641473233963</v>
      </c>
      <c r="AB17" s="59">
        <f>'FG Users'!Y14</f>
        <v>301.79958127924152</v>
      </c>
      <c r="AC17" s="284">
        <f>'FG Users'!Z14</f>
        <v>302.02291296938813</v>
      </c>
      <c r="AD17" s="362">
        <f t="shared" si="0"/>
        <v>5832.4970015941981</v>
      </c>
      <c r="AG17" s="70" t="s">
        <v>570</v>
      </c>
    </row>
    <row r="18" spans="1:33" s="53" customFormat="1" ht="12">
      <c r="A18" s="58"/>
      <c r="B18" s="70"/>
      <c r="C18" s="48"/>
      <c r="D18" s="228"/>
      <c r="E18" s="235"/>
      <c r="H18" s="59"/>
      <c r="I18" s="59"/>
      <c r="J18" s="59"/>
      <c r="K18" s="59"/>
      <c r="L18" s="59"/>
      <c r="M18" s="59"/>
      <c r="N18" s="59"/>
      <c r="O18" s="59"/>
      <c r="P18" s="59"/>
      <c r="Q18" s="59"/>
      <c r="R18" s="59"/>
      <c r="S18" s="59"/>
      <c r="T18" s="59"/>
      <c r="U18" s="59"/>
      <c r="V18" s="59"/>
      <c r="W18" s="59"/>
      <c r="X18" s="59"/>
      <c r="Y18" s="59"/>
      <c r="Z18" s="59"/>
      <c r="AA18" s="59"/>
      <c r="AB18" s="59"/>
      <c r="AC18" s="284"/>
      <c r="AD18" s="362">
        <f t="shared" si="0"/>
        <v>0</v>
      </c>
      <c r="AG18" s="391">
        <f>AD59+AD71+AD78</f>
        <v>5264435.7373313867</v>
      </c>
    </row>
    <row r="19" spans="1:33" s="53" customFormat="1" ht="12">
      <c r="A19" s="58"/>
      <c r="B19" s="5" t="s">
        <v>413</v>
      </c>
      <c r="D19" s="228"/>
      <c r="E19" s="235"/>
      <c r="H19" s="59"/>
      <c r="I19" s="59"/>
      <c r="J19" s="59"/>
      <c r="K19" s="59"/>
      <c r="L19" s="59"/>
      <c r="M19" s="59"/>
      <c r="N19" s="59"/>
      <c r="O19" s="59"/>
      <c r="P19" s="59"/>
      <c r="Q19" s="59"/>
      <c r="R19" s="59"/>
      <c r="S19" s="59"/>
      <c r="T19" s="59"/>
      <c r="U19" s="59"/>
      <c r="V19" s="59"/>
      <c r="W19" s="59"/>
      <c r="X19" s="59"/>
      <c r="Y19" s="59"/>
      <c r="Z19" s="59"/>
      <c r="AA19" s="59"/>
      <c r="AB19" s="59"/>
      <c r="AC19" s="284"/>
      <c r="AD19" s="362">
        <f t="shared" si="0"/>
        <v>0</v>
      </c>
      <c r="AG19" s="308">
        <f>AD98+AD105</f>
        <v>22406.460291492676</v>
      </c>
    </row>
    <row r="20" spans="1:33" s="53" customFormat="1" ht="12">
      <c r="A20" s="58"/>
      <c r="B20" s="70" t="s">
        <v>463</v>
      </c>
      <c r="C20" s="47" t="s">
        <v>95</v>
      </c>
      <c r="D20" s="228"/>
      <c r="E20" s="235"/>
      <c r="H20" s="59"/>
      <c r="I20" s="59">
        <f>'FG Users'!F17</f>
        <v>0</v>
      </c>
      <c r="J20" s="59">
        <f>'FG Users'!G17</f>
        <v>6750</v>
      </c>
      <c r="K20" s="59">
        <f>'FG Users'!H17</f>
        <v>9216.25</v>
      </c>
      <c r="L20" s="59">
        <f>'FG Users'!I17</f>
        <v>9308.4125000000004</v>
      </c>
      <c r="M20" s="59">
        <f>'FG Users'!J17</f>
        <v>9401.4966250000016</v>
      </c>
      <c r="N20" s="59">
        <f>'FG Users'!K17</f>
        <v>9495.5115912500005</v>
      </c>
      <c r="O20" s="59">
        <f>'FG Users'!L17</f>
        <v>9590.466707162499</v>
      </c>
      <c r="P20" s="59">
        <f>'FG Users'!M17</f>
        <v>9686.3713742341261</v>
      </c>
      <c r="Q20" s="59">
        <f>'FG Users'!N17</f>
        <v>9783.235087976469</v>
      </c>
      <c r="R20" s="59">
        <f>'FG Users'!O17</f>
        <v>9881.0674388562329</v>
      </c>
      <c r="S20" s="59">
        <f>'FG Users'!P17</f>
        <v>9979.8781132447948</v>
      </c>
      <c r="T20" s="59">
        <f>'FG Users'!Q17</f>
        <v>10079.676894377242</v>
      </c>
      <c r="U20" s="59">
        <f>'FG Users'!R17</f>
        <v>10180.473663321014</v>
      </c>
      <c r="V20" s="59">
        <f>'FG Users'!S17</f>
        <v>10282.278399954226</v>
      </c>
      <c r="W20" s="59">
        <f>'FG Users'!T17</f>
        <v>10385.101183953768</v>
      </c>
      <c r="X20" s="59">
        <f>'FG Users'!U17</f>
        <v>10488.952195793305</v>
      </c>
      <c r="Y20" s="59">
        <f>'FG Users'!V17</f>
        <v>10593.841717751238</v>
      </c>
      <c r="Z20" s="59">
        <f>'FG Users'!W17</f>
        <v>10699.780134928751</v>
      </c>
      <c r="AA20" s="59">
        <f>'FG Users'!X17</f>
        <v>10806.777936278038</v>
      </c>
      <c r="AB20" s="59">
        <f>'FG Users'!Y17</f>
        <v>10914.845715640819</v>
      </c>
      <c r="AC20" s="284">
        <f>'FG Users'!Z17</f>
        <v>11023.994172797227</v>
      </c>
      <c r="AD20" s="362">
        <f t="shared" si="0"/>
        <v>198548.41145251971</v>
      </c>
      <c r="AG20" s="308">
        <f>AD132+AD145</f>
        <v>4126011.4182648961</v>
      </c>
    </row>
    <row r="21" spans="1:33" s="53" customFormat="1" ht="12">
      <c r="A21" s="58"/>
      <c r="B21" s="70"/>
      <c r="C21" s="78" t="s">
        <v>510</v>
      </c>
      <c r="D21" s="228"/>
      <c r="E21" s="235"/>
      <c r="H21" s="59"/>
      <c r="I21" s="59">
        <f>'FG Users'!F18</f>
        <v>0</v>
      </c>
      <c r="J21" s="59">
        <f>'FG Users'!G18</f>
        <v>3375</v>
      </c>
      <c r="K21" s="59">
        <f>'FG Users'!H18</f>
        <v>4608.125</v>
      </c>
      <c r="L21" s="59">
        <f>'FG Users'!I18</f>
        <v>4654.2062500000002</v>
      </c>
      <c r="M21" s="59">
        <f>'FG Users'!J18</f>
        <v>4700.7483125000008</v>
      </c>
      <c r="N21" s="59">
        <f>'FG Users'!K18</f>
        <v>4747.7557956250002</v>
      </c>
      <c r="O21" s="59">
        <f>'FG Users'!L18</f>
        <v>4795.2333535812495</v>
      </c>
      <c r="P21" s="59">
        <f>'FG Users'!M18</f>
        <v>4843.185687117063</v>
      </c>
      <c r="Q21" s="59">
        <f>'FG Users'!N18</f>
        <v>4891.6175439882345</v>
      </c>
      <c r="R21" s="59">
        <f>'FG Users'!O18</f>
        <v>4940.5337194281165</v>
      </c>
      <c r="S21" s="59">
        <f>'FG Users'!P18</f>
        <v>4989.9390566223974</v>
      </c>
      <c r="T21" s="59">
        <f>'FG Users'!Q18</f>
        <v>5039.8384471886211</v>
      </c>
      <c r="U21" s="59">
        <f>'FG Users'!R18</f>
        <v>5090.2368316605071</v>
      </c>
      <c r="V21" s="59">
        <f>'FG Users'!S18</f>
        <v>5141.1391999771131</v>
      </c>
      <c r="W21" s="59">
        <f>'FG Users'!T18</f>
        <v>5192.5505919768839</v>
      </c>
      <c r="X21" s="59">
        <f>'FG Users'!U18</f>
        <v>5244.4760978966524</v>
      </c>
      <c r="Y21" s="59">
        <f>'FG Users'!V18</f>
        <v>5296.9208588756192</v>
      </c>
      <c r="Z21" s="59">
        <f>'FG Users'!W18</f>
        <v>5349.8900674643755</v>
      </c>
      <c r="AA21" s="59">
        <f>'FG Users'!X18</f>
        <v>5403.3889681390192</v>
      </c>
      <c r="AB21" s="59">
        <f>'FG Users'!Y18</f>
        <v>5457.4228578204093</v>
      </c>
      <c r="AC21" s="284">
        <f>'FG Users'!Z18</f>
        <v>5511.9970863986136</v>
      </c>
      <c r="AD21" s="362">
        <f t="shared" si="0"/>
        <v>99274.205726259854</v>
      </c>
      <c r="AG21" s="308">
        <f>AD98+AD104</f>
        <v>22406.460291492676</v>
      </c>
    </row>
    <row r="22" spans="1:33" s="53" customFormat="1" ht="12">
      <c r="A22" s="58"/>
      <c r="B22" s="70"/>
      <c r="C22" s="47" t="s">
        <v>148</v>
      </c>
      <c r="D22" s="228"/>
      <c r="E22" s="235"/>
      <c r="H22" s="59"/>
      <c r="I22" s="59">
        <f>'FG Users'!F19</f>
        <v>0</v>
      </c>
      <c r="J22" s="59">
        <f>'FG Users'!G19</f>
        <v>3375</v>
      </c>
      <c r="K22" s="59">
        <f>'FG Users'!H19</f>
        <v>4608.125</v>
      </c>
      <c r="L22" s="59">
        <f>'FG Users'!I19</f>
        <v>4654.2062500000002</v>
      </c>
      <c r="M22" s="59">
        <f>'FG Users'!J19</f>
        <v>4700.7483125000008</v>
      </c>
      <c r="N22" s="59">
        <f>'FG Users'!K19</f>
        <v>4747.7557956250002</v>
      </c>
      <c r="O22" s="59">
        <f>'FG Users'!L19</f>
        <v>4795.2333535812495</v>
      </c>
      <c r="P22" s="59">
        <f>'FG Users'!M19</f>
        <v>4843.185687117063</v>
      </c>
      <c r="Q22" s="59">
        <f>'FG Users'!N19</f>
        <v>4891.6175439882345</v>
      </c>
      <c r="R22" s="59">
        <f>'FG Users'!O19</f>
        <v>4940.5337194281165</v>
      </c>
      <c r="S22" s="59">
        <f>'FG Users'!P19</f>
        <v>4989.9390566223974</v>
      </c>
      <c r="T22" s="59">
        <f>'FG Users'!Q19</f>
        <v>5039.8384471886211</v>
      </c>
      <c r="U22" s="59">
        <f>'FG Users'!R19</f>
        <v>5090.2368316605071</v>
      </c>
      <c r="V22" s="59">
        <f>'FG Users'!S19</f>
        <v>5141.1391999771131</v>
      </c>
      <c r="W22" s="59">
        <f>'FG Users'!T19</f>
        <v>5192.5505919768839</v>
      </c>
      <c r="X22" s="59">
        <f>'FG Users'!U19</f>
        <v>5244.4760978966524</v>
      </c>
      <c r="Y22" s="59">
        <f>'FG Users'!V19</f>
        <v>5296.9208588756192</v>
      </c>
      <c r="Z22" s="59">
        <f>'FG Users'!W19</f>
        <v>5349.8900674643755</v>
      </c>
      <c r="AA22" s="59">
        <f>'FG Users'!X19</f>
        <v>5403.3889681390192</v>
      </c>
      <c r="AB22" s="59">
        <f>'FG Users'!Y19</f>
        <v>5457.4228578204093</v>
      </c>
      <c r="AC22" s="284">
        <f>'FG Users'!Z19</f>
        <v>5511.9970863986136</v>
      </c>
      <c r="AD22" s="362">
        <f t="shared" si="0"/>
        <v>99274.205726259854</v>
      </c>
      <c r="AG22" s="308">
        <f>AD206</f>
        <v>5145595.129809197</v>
      </c>
    </row>
    <row r="23" spans="1:33" s="53" customFormat="1" ht="12">
      <c r="A23" s="58"/>
      <c r="B23" s="70"/>
      <c r="C23" s="78" t="s">
        <v>437</v>
      </c>
      <c r="D23" s="228"/>
      <c r="E23" s="235"/>
      <c r="H23" s="59"/>
      <c r="I23" s="59">
        <f>'FG Users'!F20</f>
        <v>0</v>
      </c>
      <c r="J23" s="59">
        <f>'FG Users'!G20</f>
        <v>10125</v>
      </c>
      <c r="K23" s="59">
        <f>'FG Users'!H20</f>
        <v>13824.375</v>
      </c>
      <c r="L23" s="59">
        <f>'FG Users'!I20</f>
        <v>13962.61875</v>
      </c>
      <c r="M23" s="59">
        <f>'FG Users'!J20</f>
        <v>14102.244937500001</v>
      </c>
      <c r="N23" s="59">
        <f>'FG Users'!K20</f>
        <v>14243.267386874999</v>
      </c>
      <c r="O23" s="59">
        <f>'FG Users'!L20</f>
        <v>14385.700060743749</v>
      </c>
      <c r="P23" s="59">
        <f>'FG Users'!M20</f>
        <v>14529.55706135119</v>
      </c>
      <c r="Q23" s="59">
        <f>'FG Users'!N20</f>
        <v>14674.852631964701</v>
      </c>
      <c r="R23" s="59">
        <f>'FG Users'!O20</f>
        <v>14821.601158284346</v>
      </c>
      <c r="S23" s="59">
        <f>'FG Users'!P20</f>
        <v>14969.81716986719</v>
      </c>
      <c r="T23" s="59">
        <f>'FG Users'!Q20</f>
        <v>15119.515341565862</v>
      </c>
      <c r="U23" s="59">
        <f>'FG Users'!R20</f>
        <v>15270.71049498152</v>
      </c>
      <c r="V23" s="59">
        <f>'FG Users'!S20</f>
        <v>15423.417599931337</v>
      </c>
      <c r="W23" s="59">
        <f>'FG Users'!T20</f>
        <v>15577.651775930648</v>
      </c>
      <c r="X23" s="59">
        <f>'FG Users'!U20</f>
        <v>15733.428293689956</v>
      </c>
      <c r="Y23" s="59">
        <f>'FG Users'!V20</f>
        <v>15890.762576626857</v>
      </c>
      <c r="Z23" s="59">
        <f>'FG Users'!W20</f>
        <v>16049.670202393125</v>
      </c>
      <c r="AA23" s="59">
        <f>'FG Users'!X20</f>
        <v>16210.166904417056</v>
      </c>
      <c r="AB23" s="59">
        <f>'FG Users'!Y20</f>
        <v>16372.268573461224</v>
      </c>
      <c r="AC23" s="284">
        <f>'FG Users'!Z20</f>
        <v>16535.991259195838</v>
      </c>
      <c r="AD23" s="362">
        <f t="shared" si="0"/>
        <v>297822.61717877962</v>
      </c>
      <c r="AG23" s="390">
        <f>AD219</f>
        <v>5432460.5746042216</v>
      </c>
    </row>
    <row r="24" spans="1:33" s="53" customFormat="1" ht="12">
      <c r="A24" s="58"/>
      <c r="B24" s="70"/>
      <c r="C24" s="47" t="s">
        <v>152</v>
      </c>
      <c r="D24" s="228"/>
      <c r="E24" s="235"/>
      <c r="H24" s="59"/>
      <c r="I24" s="59">
        <f>'FG Users'!F21</f>
        <v>0</v>
      </c>
      <c r="J24" s="59">
        <f>'FG Users'!G21</f>
        <v>10125</v>
      </c>
      <c r="K24" s="59">
        <f>'FG Users'!H21</f>
        <v>13824.375</v>
      </c>
      <c r="L24" s="59">
        <f>'FG Users'!I21</f>
        <v>13962.61875</v>
      </c>
      <c r="M24" s="59">
        <f>'FG Users'!J21</f>
        <v>14102.244937500001</v>
      </c>
      <c r="N24" s="59">
        <f>'FG Users'!K21</f>
        <v>14243.267386874999</v>
      </c>
      <c r="O24" s="59">
        <f>'FG Users'!L21</f>
        <v>14385.700060743749</v>
      </c>
      <c r="P24" s="59">
        <f>'FG Users'!M21</f>
        <v>14529.55706135119</v>
      </c>
      <c r="Q24" s="59">
        <f>'FG Users'!N21</f>
        <v>14674.852631964701</v>
      </c>
      <c r="R24" s="59">
        <f>'FG Users'!O21</f>
        <v>14821.601158284346</v>
      </c>
      <c r="S24" s="59">
        <f>'FG Users'!P21</f>
        <v>14969.81716986719</v>
      </c>
      <c r="T24" s="59">
        <f>'FG Users'!Q21</f>
        <v>15119.515341565862</v>
      </c>
      <c r="U24" s="59">
        <f>'FG Users'!R21</f>
        <v>15270.71049498152</v>
      </c>
      <c r="V24" s="59">
        <f>'FG Users'!S21</f>
        <v>15423.417599931337</v>
      </c>
      <c r="W24" s="59">
        <f>'FG Users'!T21</f>
        <v>15577.651775930648</v>
      </c>
      <c r="X24" s="59">
        <f>'FG Users'!U21</f>
        <v>15733.428293689956</v>
      </c>
      <c r="Y24" s="59">
        <f>'FG Users'!V21</f>
        <v>15890.762576626857</v>
      </c>
      <c r="Z24" s="59">
        <f>'FG Users'!W21</f>
        <v>16049.670202393125</v>
      </c>
      <c r="AA24" s="59">
        <f>'FG Users'!X21</f>
        <v>16210.166904417056</v>
      </c>
      <c r="AB24" s="59">
        <f>'FG Users'!Y21</f>
        <v>16372.268573461224</v>
      </c>
      <c r="AC24" s="284">
        <f>'FG Users'!Z21</f>
        <v>16535.991259195838</v>
      </c>
      <c r="AD24" s="362">
        <f t="shared" si="0"/>
        <v>297822.61717877962</v>
      </c>
      <c r="AG24" s="392">
        <f>AD222</f>
        <v>859487.67765885603</v>
      </c>
    </row>
    <row r="25" spans="1:33" s="53" customFormat="1" ht="12">
      <c r="A25" s="58"/>
      <c r="B25" s="70" t="s">
        <v>462</v>
      </c>
      <c r="C25" s="78" t="s">
        <v>442</v>
      </c>
      <c r="D25" s="228"/>
      <c r="E25" s="235"/>
      <c r="H25" s="59"/>
      <c r="I25" s="59">
        <f>'FG Users'!F22</f>
        <v>0</v>
      </c>
      <c r="J25" s="59">
        <f>'FG Users'!G22</f>
        <v>16875</v>
      </c>
      <c r="K25" s="59">
        <f>'FG Users'!H22</f>
        <v>23040.625</v>
      </c>
      <c r="L25" s="59">
        <f>'FG Users'!I22</f>
        <v>23271.03125</v>
      </c>
      <c r="M25" s="59">
        <f>'FG Users'!J22</f>
        <v>23503.741562500003</v>
      </c>
      <c r="N25" s="59">
        <f>'FG Users'!K22</f>
        <v>23738.778978124999</v>
      </c>
      <c r="O25" s="59">
        <f>'FG Users'!L22</f>
        <v>23976.166767906248</v>
      </c>
      <c r="P25" s="59">
        <f>'FG Users'!M22</f>
        <v>24215.928435585316</v>
      </c>
      <c r="Q25" s="59">
        <f>'FG Users'!N22</f>
        <v>24458.08771994117</v>
      </c>
      <c r="R25" s="59">
        <f>'FG Users'!O22</f>
        <v>24702.668597140579</v>
      </c>
      <c r="S25" s="59">
        <f>'FG Users'!P22</f>
        <v>24949.695283111985</v>
      </c>
      <c r="T25" s="59">
        <f>'FG Users'!Q22</f>
        <v>25199.192235943105</v>
      </c>
      <c r="U25" s="59">
        <f>'FG Users'!R22</f>
        <v>25451.184158302534</v>
      </c>
      <c r="V25" s="59">
        <f>'FG Users'!S22</f>
        <v>25705.695999885564</v>
      </c>
      <c r="W25" s="59">
        <f>'FG Users'!T22</f>
        <v>25962.752959884416</v>
      </c>
      <c r="X25" s="59">
        <f>'FG Users'!U22</f>
        <v>26222.380489483261</v>
      </c>
      <c r="Y25" s="59">
        <f>'FG Users'!V22</f>
        <v>26484.604294378096</v>
      </c>
      <c r="Z25" s="59">
        <f>'FG Users'!W22</f>
        <v>26749.450337321876</v>
      </c>
      <c r="AA25" s="59">
        <f>'FG Users'!X22</f>
        <v>27016.944840695094</v>
      </c>
      <c r="AB25" s="59">
        <f>'FG Users'!Y22</f>
        <v>27287.114289102043</v>
      </c>
      <c r="AC25" s="284">
        <f>'FG Users'!Z22</f>
        <v>27559.985431993067</v>
      </c>
      <c r="AD25" s="362">
        <f t="shared" si="0"/>
        <v>496371.02863129927</v>
      </c>
      <c r="AG25" s="392">
        <f>AD237</f>
        <v>335127.5453467773</v>
      </c>
    </row>
    <row r="26" spans="1:33" s="53" customFormat="1" ht="12">
      <c r="A26" s="58"/>
      <c r="B26" s="70"/>
      <c r="C26" s="78" t="s">
        <v>473</v>
      </c>
      <c r="D26" s="228"/>
      <c r="E26" s="235"/>
      <c r="H26" s="59"/>
      <c r="I26" s="59">
        <f>'FG Users'!F23</f>
        <v>0</v>
      </c>
      <c r="J26" s="59">
        <f>'FG Users'!G23</f>
        <v>16875</v>
      </c>
      <c r="K26" s="59">
        <f>'FG Users'!H23</f>
        <v>23040.625</v>
      </c>
      <c r="L26" s="59">
        <f>'FG Users'!I23</f>
        <v>23271.03125</v>
      </c>
      <c r="M26" s="59">
        <f>'FG Users'!J23</f>
        <v>23503.741562500003</v>
      </c>
      <c r="N26" s="59">
        <f>'FG Users'!K23</f>
        <v>23738.778978124999</v>
      </c>
      <c r="O26" s="59">
        <f>'FG Users'!L23</f>
        <v>23976.166767906248</v>
      </c>
      <c r="P26" s="59">
        <f>'FG Users'!M23</f>
        <v>24215.928435585316</v>
      </c>
      <c r="Q26" s="59">
        <f>'FG Users'!N23</f>
        <v>24458.08771994117</v>
      </c>
      <c r="R26" s="59">
        <f>'FG Users'!O23</f>
        <v>24702.668597140579</v>
      </c>
      <c r="S26" s="59">
        <f>'FG Users'!P23</f>
        <v>24949.695283111985</v>
      </c>
      <c r="T26" s="59">
        <f>'FG Users'!Q23</f>
        <v>25199.192235943105</v>
      </c>
      <c r="U26" s="59">
        <f>'FG Users'!R23</f>
        <v>25451.184158302534</v>
      </c>
      <c r="V26" s="59">
        <f>'FG Users'!S23</f>
        <v>25705.695999885564</v>
      </c>
      <c r="W26" s="59">
        <f>'FG Users'!T23</f>
        <v>25962.752959884416</v>
      </c>
      <c r="X26" s="59">
        <f>'FG Users'!U23</f>
        <v>26222.380489483261</v>
      </c>
      <c r="Y26" s="59">
        <f>'FG Users'!V23</f>
        <v>26484.604294378096</v>
      </c>
      <c r="Z26" s="59">
        <f>'FG Users'!W23</f>
        <v>26749.450337321876</v>
      </c>
      <c r="AA26" s="59">
        <f>'FG Users'!X23</f>
        <v>27016.944840695094</v>
      </c>
      <c r="AB26" s="59">
        <f>'FG Users'!Y23</f>
        <v>27287.114289102043</v>
      </c>
      <c r="AC26" s="284">
        <f>'FG Users'!Z23</f>
        <v>27559.985431993067</v>
      </c>
      <c r="AD26" s="362">
        <f t="shared" si="0"/>
        <v>496371.02863129927</v>
      </c>
      <c r="AG26" s="392">
        <f>AD242</f>
        <v>17412.929065019889</v>
      </c>
    </row>
    <row r="27" spans="1:33" s="53" customFormat="1" ht="12">
      <c r="A27" s="58"/>
      <c r="B27" s="70"/>
      <c r="C27" s="78"/>
      <c r="D27" s="228"/>
      <c r="E27" s="235"/>
      <c r="H27" s="59"/>
      <c r="I27" s="59"/>
      <c r="J27" s="59"/>
      <c r="K27" s="59"/>
      <c r="L27" s="59"/>
      <c r="M27" s="59"/>
      <c r="N27" s="59"/>
      <c r="O27" s="59"/>
      <c r="P27" s="59"/>
      <c r="Q27" s="59"/>
      <c r="R27" s="59"/>
      <c r="S27" s="59"/>
      <c r="T27" s="59"/>
      <c r="U27" s="59"/>
      <c r="V27" s="59"/>
      <c r="W27" s="59"/>
      <c r="X27" s="59"/>
      <c r="Y27" s="59"/>
      <c r="AC27" s="283"/>
      <c r="AD27" s="361">
        <f t="shared" si="0"/>
        <v>0</v>
      </c>
      <c r="AG27" s="392">
        <f>AD272</f>
        <v>5754564.528875283</v>
      </c>
    </row>
    <row r="28" spans="1:33" s="53" customFormat="1" ht="12">
      <c r="A28" s="58"/>
      <c r="B28" s="5" t="s">
        <v>368</v>
      </c>
      <c r="D28" s="228"/>
      <c r="E28" s="235"/>
      <c r="H28" s="59"/>
      <c r="I28" s="59"/>
      <c r="J28" s="59"/>
      <c r="K28" s="59"/>
      <c r="L28" s="59"/>
      <c r="M28" s="59"/>
      <c r="N28" s="59"/>
      <c r="O28" s="59"/>
      <c r="P28" s="59"/>
      <c r="Q28" s="59"/>
      <c r="R28" s="59"/>
      <c r="S28" s="59"/>
      <c r="T28" s="59"/>
      <c r="U28" s="59"/>
      <c r="V28" s="59"/>
      <c r="W28" s="59"/>
      <c r="X28" s="59"/>
      <c r="Y28" s="59"/>
      <c r="AC28" s="283"/>
      <c r="AD28" s="361">
        <f t="shared" si="0"/>
        <v>0</v>
      </c>
      <c r="AG28" s="393">
        <f>SUM(AG18:AG27)</f>
        <v>26979908.461538624</v>
      </c>
    </row>
    <row r="29" spans="1:33" s="53" customFormat="1" ht="12">
      <c r="A29" s="58"/>
      <c r="B29" s="70" t="s">
        <v>463</v>
      </c>
      <c r="C29" s="70" t="s">
        <v>366</v>
      </c>
      <c r="D29" s="228"/>
      <c r="E29" s="235"/>
      <c r="F29" s="106">
        <f>'FG Users'!C26</f>
        <v>0</v>
      </c>
      <c r="G29" s="106">
        <f>'FG Users'!D26</f>
        <v>0</v>
      </c>
      <c r="H29" s="106">
        <f>'FG Users'!E26</f>
        <v>0</v>
      </c>
      <c r="I29" s="106">
        <f>'FG Users'!F26</f>
        <v>0</v>
      </c>
      <c r="J29" s="106">
        <f>'FG Users'!G26</f>
        <v>1831.6613099196252</v>
      </c>
      <c r="K29" s="106">
        <f>'FG Users'!H26</f>
        <v>2533.1143251664439</v>
      </c>
      <c r="L29" s="106">
        <f>'FG Users'!I26</f>
        <v>2627.3968403491394</v>
      </c>
      <c r="M29" s="106">
        <f>'FG Users'!J26</f>
        <v>2725.1885507469347</v>
      </c>
      <c r="N29" s="106">
        <f>'FG Users'!K26</f>
        <v>2826.6200686057359</v>
      </c>
      <c r="O29" s="106">
        <f>'FG Users'!L26</f>
        <v>2828.7117674565038</v>
      </c>
      <c r="P29" s="106">
        <f>'FG Users'!M26</f>
        <v>2830.8050141644217</v>
      </c>
      <c r="Q29" s="106">
        <f>'FG Users'!N26</f>
        <v>2832.899809874903</v>
      </c>
      <c r="R29" s="106">
        <f>'FG Users'!O26</f>
        <v>2834.9961557342103</v>
      </c>
      <c r="S29" s="106">
        <f>'FG Users'!P26</f>
        <v>2837.0940528894535</v>
      </c>
      <c r="T29" s="106">
        <f>'FG Users'!Q26</f>
        <v>2839.1935024885915</v>
      </c>
      <c r="U29" s="106">
        <f>'FG Users'!R26</f>
        <v>2841.2945056804333</v>
      </c>
      <c r="V29" s="106">
        <f>'FG Users'!S26</f>
        <v>2843.3970636146364</v>
      </c>
      <c r="W29" s="106">
        <f>'FG Users'!T26</f>
        <v>2845.5011774417108</v>
      </c>
      <c r="X29" s="106">
        <f>'FG Users'!U26</f>
        <v>2847.6068483130175</v>
      </c>
      <c r="Y29" s="106">
        <f>'FG Users'!V26</f>
        <v>2849.7140773807696</v>
      </c>
      <c r="Z29" s="106">
        <f>'FG Users'!W26</f>
        <v>2851.8228657980312</v>
      </c>
      <c r="AA29" s="106">
        <f>'FG Users'!X26</f>
        <v>2853.9332147187215</v>
      </c>
      <c r="AB29" s="106">
        <f>'FG Users'!Y26</f>
        <v>2856.0451252976136</v>
      </c>
      <c r="AC29" s="285">
        <f>'FG Users'!Z26</f>
        <v>2858.1585986903333</v>
      </c>
      <c r="AD29" s="363">
        <f t="shared" si="0"/>
        <v>55195.154874331223</v>
      </c>
    </row>
    <row r="30" spans="1:33" s="53" customFormat="1" ht="12">
      <c r="A30" s="58"/>
      <c r="B30" s="70" t="s">
        <v>462</v>
      </c>
      <c r="C30" s="54" t="s">
        <v>434</v>
      </c>
      <c r="D30" s="228"/>
      <c r="E30" s="235"/>
      <c r="F30" s="106"/>
      <c r="G30" s="106"/>
      <c r="H30" s="106"/>
      <c r="I30" s="106">
        <f>'FG Users'!F27</f>
        <v>0</v>
      </c>
      <c r="J30" s="106">
        <f>'FG Users'!G27</f>
        <v>457.9153274799063</v>
      </c>
      <c r="K30" s="106">
        <f>'FG Users'!H27</f>
        <v>633.27858129161098</v>
      </c>
      <c r="L30" s="106">
        <f>'FG Users'!I27</f>
        <v>656.84921008728486</v>
      </c>
      <c r="M30" s="106">
        <f>'FG Users'!J27</f>
        <v>681.29713768673366</v>
      </c>
      <c r="N30" s="106">
        <f>'FG Users'!K27</f>
        <v>706.65501715143398</v>
      </c>
      <c r="O30" s="106">
        <f>'FG Users'!L27</f>
        <v>707.17794186412596</v>
      </c>
      <c r="P30" s="106">
        <f>'FG Users'!M27</f>
        <v>707.70125354110542</v>
      </c>
      <c r="Q30" s="106">
        <f>'FG Users'!N27</f>
        <v>708.22495246872575</v>
      </c>
      <c r="R30" s="106">
        <f>'FG Users'!O27</f>
        <v>708.74903893355258</v>
      </c>
      <c r="S30" s="106">
        <f>'FG Users'!P27</f>
        <v>709.27351322236336</v>
      </c>
      <c r="T30" s="106">
        <f>'FG Users'!Q27</f>
        <v>709.79837562214789</v>
      </c>
      <c r="U30" s="106">
        <f>'FG Users'!R27</f>
        <v>710.32362642010833</v>
      </c>
      <c r="V30" s="106">
        <f>'FG Users'!S27</f>
        <v>710.8492659036591</v>
      </c>
      <c r="W30" s="106">
        <f>'FG Users'!T27</f>
        <v>711.37529436042769</v>
      </c>
      <c r="X30" s="106">
        <f>'FG Users'!U27</f>
        <v>711.90171207825438</v>
      </c>
      <c r="Y30" s="106">
        <f>'FG Users'!V27</f>
        <v>712.4285193451924</v>
      </c>
      <c r="Z30" s="106">
        <f>'FG Users'!W27</f>
        <v>712.9557164495078</v>
      </c>
      <c r="AA30" s="106">
        <f>'FG Users'!X27</f>
        <v>713.48330367968038</v>
      </c>
      <c r="AB30" s="106">
        <f>'FG Users'!Y27</f>
        <v>714.0112813244034</v>
      </c>
      <c r="AC30" s="285">
        <f>'FG Users'!Z27</f>
        <v>714.53964967258332</v>
      </c>
      <c r="AD30" s="363">
        <f t="shared" si="0"/>
        <v>13798.788718582806</v>
      </c>
    </row>
    <row r="31" spans="1:33" s="53" customFormat="1" ht="12">
      <c r="A31" s="58"/>
      <c r="B31" s="70"/>
      <c r="C31" s="78" t="s">
        <v>435</v>
      </c>
      <c r="D31" s="228"/>
      <c r="E31" s="235"/>
      <c r="F31" s="106"/>
      <c r="G31" s="106"/>
      <c r="H31" s="106"/>
      <c r="I31" s="106">
        <f>'FG Users'!F28</f>
        <v>0</v>
      </c>
      <c r="J31" s="106">
        <f>'FG Users'!G28</f>
        <v>274.74919648794378</v>
      </c>
      <c r="K31" s="106">
        <f>'FG Users'!H28</f>
        <v>379.96714877496657</v>
      </c>
      <c r="L31" s="106">
        <f>'FG Users'!I28</f>
        <v>394.10952605237088</v>
      </c>
      <c r="M31" s="106">
        <f>'FG Users'!J28</f>
        <v>408.77828261204019</v>
      </c>
      <c r="N31" s="106">
        <f>'FG Users'!K28</f>
        <v>423.99301029086035</v>
      </c>
      <c r="O31" s="106">
        <f>'FG Users'!L28</f>
        <v>424.30676511847554</v>
      </c>
      <c r="P31" s="106">
        <f>'FG Users'!M28</f>
        <v>424.62075212466323</v>
      </c>
      <c r="Q31" s="106">
        <f>'FG Users'!N28</f>
        <v>424.93497148123544</v>
      </c>
      <c r="R31" s="106">
        <f>'FG Users'!O28</f>
        <v>425.24942336013152</v>
      </c>
      <c r="S31" s="106">
        <f>'FG Users'!P28</f>
        <v>425.56410793341803</v>
      </c>
      <c r="T31" s="106">
        <f>'FG Users'!Q28</f>
        <v>425.8790253732887</v>
      </c>
      <c r="U31" s="106">
        <f>'FG Users'!R28</f>
        <v>426.19417585206497</v>
      </c>
      <c r="V31" s="106">
        <f>'FG Users'!S28</f>
        <v>426.50955954219546</v>
      </c>
      <c r="W31" s="106">
        <f>'FG Users'!T28</f>
        <v>426.82517661625661</v>
      </c>
      <c r="X31" s="106">
        <f>'FG Users'!U28</f>
        <v>427.1410272469526</v>
      </c>
      <c r="Y31" s="106">
        <f>'FG Users'!V28</f>
        <v>427.45711160711545</v>
      </c>
      <c r="Z31" s="106">
        <f>'FG Users'!W28</f>
        <v>427.77342986970467</v>
      </c>
      <c r="AA31" s="106">
        <f>'FG Users'!X28</f>
        <v>428.08998220780819</v>
      </c>
      <c r="AB31" s="106">
        <f>'FG Users'!Y28</f>
        <v>428.40676879464201</v>
      </c>
      <c r="AC31" s="285">
        <f>'FG Users'!Z28</f>
        <v>428.72378980355001</v>
      </c>
      <c r="AD31" s="363">
        <f t="shared" si="0"/>
        <v>8279.2732311496857</v>
      </c>
      <c r="AG31" s="70" t="s">
        <v>571</v>
      </c>
    </row>
    <row r="32" spans="1:33" s="53" customFormat="1" ht="12">
      <c r="A32" s="58"/>
      <c r="B32" s="70"/>
      <c r="D32" s="228"/>
      <c r="E32" s="235"/>
      <c r="H32" s="59"/>
      <c r="I32" s="59"/>
      <c r="J32" s="59"/>
      <c r="K32" s="59"/>
      <c r="L32" s="59"/>
      <c r="M32" s="59"/>
      <c r="N32" s="59"/>
      <c r="O32" s="59"/>
      <c r="P32" s="59"/>
      <c r="Q32" s="59"/>
      <c r="R32" s="59"/>
      <c r="S32" s="59"/>
      <c r="T32" s="59"/>
      <c r="U32" s="59"/>
      <c r="V32" s="59"/>
      <c r="W32" s="59"/>
      <c r="X32" s="59"/>
      <c r="Y32" s="59"/>
      <c r="AC32" s="283"/>
      <c r="AD32" s="361">
        <f t="shared" si="0"/>
        <v>0</v>
      </c>
      <c r="AG32" s="53">
        <v>-500000</v>
      </c>
    </row>
    <row r="33" spans="1:33" s="53" customFormat="1" ht="12">
      <c r="A33" s="58"/>
      <c r="B33" s="58" t="s">
        <v>436</v>
      </c>
      <c r="D33" s="228"/>
      <c r="E33" s="235"/>
      <c r="H33" s="59"/>
      <c r="I33" s="59"/>
      <c r="J33" s="59"/>
      <c r="K33" s="59"/>
      <c r="L33" s="59"/>
      <c r="M33" s="59"/>
      <c r="N33" s="59"/>
      <c r="O33" s="59"/>
      <c r="P33" s="59"/>
      <c r="Q33" s="59"/>
      <c r="R33" s="59"/>
      <c r="S33" s="59"/>
      <c r="T33" s="59"/>
      <c r="U33" s="59"/>
      <c r="V33" s="59"/>
      <c r="W33" s="59"/>
      <c r="X33" s="59"/>
      <c r="Y33" s="59"/>
      <c r="AC33" s="283"/>
      <c r="AD33" s="361">
        <f t="shared" si="0"/>
        <v>0</v>
      </c>
      <c r="AG33" s="308">
        <f>+AD132+AD145+AD193+AD262+AD260</f>
        <v>1058458.5895115891</v>
      </c>
    </row>
    <row r="34" spans="1:33" s="53" customFormat="1" ht="12">
      <c r="A34" s="58"/>
      <c r="B34" s="70"/>
      <c r="C34" s="78" t="s">
        <v>505</v>
      </c>
      <c r="D34" s="228"/>
      <c r="E34" s="235"/>
      <c r="F34" s="299">
        <f>'FG Users'!C40</f>
        <v>0</v>
      </c>
      <c r="G34" s="299">
        <f>'FG Users'!D40</f>
        <v>0</v>
      </c>
      <c r="H34" s="299">
        <f>'FG Users'!E40</f>
        <v>0</v>
      </c>
      <c r="I34" s="299">
        <f>'FG Users'!F40</f>
        <v>0</v>
      </c>
      <c r="J34" s="299">
        <f>'FG Users'!G40</f>
        <v>54760.269541851849</v>
      </c>
      <c r="K34" s="299">
        <f>'FG Users'!H40</f>
        <v>75137.612365599431</v>
      </c>
      <c r="L34" s="299">
        <f>'FG Users'!I40</f>
        <v>76679.902672847034</v>
      </c>
      <c r="M34" s="299">
        <f>'FG Users'!J40</f>
        <v>78267.053709080414</v>
      </c>
      <c r="N34" s="299">
        <f>'FG Users'!K40</f>
        <v>79900.60975746988</v>
      </c>
      <c r="O34" s="299">
        <f>'FG Users'!L40</f>
        <v>80399.378395365275</v>
      </c>
      <c r="P34" s="299">
        <f>'FG Users'!M40</f>
        <v>80902.91254391949</v>
      </c>
      <c r="Q34" s="299">
        <f>'FG Users'!N40</f>
        <v>81411.259693829037</v>
      </c>
      <c r="R34" s="299">
        <f>'FG Users'!O40</f>
        <v>81924.467810575763</v>
      </c>
      <c r="S34" s="299">
        <f>'FG Users'!P40</f>
        <v>82442.585339174635</v>
      </c>
      <c r="T34" s="299">
        <f>'FG Users'!Q40</f>
        <v>82965.661208968857</v>
      </c>
      <c r="U34" s="299">
        <f>'FG Users'!R40</f>
        <v>83493.744838473154</v>
      </c>
      <c r="V34" s="299">
        <f>'FG Users'!S40</f>
        <v>84026.8861402654</v>
      </c>
      <c r="W34" s="299">
        <f>'FG Users'!T40</f>
        <v>84565.135525927064</v>
      </c>
      <c r="X34" s="299">
        <f>'FG Users'!U40</f>
        <v>85108.543911033295</v>
      </c>
      <c r="Y34" s="299">
        <f>'FG Users'!V40</f>
        <v>85657.162720192704</v>
      </c>
      <c r="Z34" s="299">
        <f>'FG Users'!W40</f>
        <v>86211.043892137532</v>
      </c>
      <c r="AA34" s="299">
        <f>'FG Users'!X40</f>
        <v>86770.239884864903</v>
      </c>
      <c r="AB34" s="299">
        <f>'FG Users'!Y40</f>
        <v>87334.803680829384</v>
      </c>
      <c r="AC34" s="408">
        <f>'FG Users'!Z40</f>
        <v>87904.788792187377</v>
      </c>
      <c r="AD34" s="364">
        <f t="shared" si="0"/>
        <v>1625864.0624245924</v>
      </c>
    </row>
    <row r="35" spans="1:33" s="53" customFormat="1" ht="12">
      <c r="A35" s="58"/>
      <c r="B35" s="70"/>
      <c r="C35" s="78" t="s">
        <v>506</v>
      </c>
      <c r="D35" s="228"/>
      <c r="E35" s="235"/>
      <c r="F35" s="299">
        <f>'FG Users'!C41</f>
        <v>0</v>
      </c>
      <c r="G35" s="299">
        <f>'FG Users'!D41</f>
        <v>0</v>
      </c>
      <c r="H35" s="299">
        <f>'FG Users'!E41</f>
        <v>0</v>
      </c>
      <c r="I35" s="299">
        <f>'FG Users'!F41</f>
        <v>0</v>
      </c>
      <c r="J35" s="299">
        <f>'FG Users'!G41</f>
        <v>-3375</v>
      </c>
      <c r="K35" s="299">
        <f>'FG Users'!H41</f>
        <v>-4608.125</v>
      </c>
      <c r="L35" s="299">
        <f>'FG Users'!I41</f>
        <v>-4654.2062500000002</v>
      </c>
      <c r="M35" s="299">
        <f>'FG Users'!J41</f>
        <v>-4700.7483125000008</v>
      </c>
      <c r="N35" s="299">
        <f>'FG Users'!K41</f>
        <v>-4747.7557956250002</v>
      </c>
      <c r="O35" s="299">
        <f>'FG Users'!L41</f>
        <v>-4795.2333535812495</v>
      </c>
      <c r="P35" s="299">
        <f>'FG Users'!M41</f>
        <v>-4843.185687117063</v>
      </c>
      <c r="Q35" s="299">
        <f>'FG Users'!N41</f>
        <v>-4891.6175439882345</v>
      </c>
      <c r="R35" s="299">
        <f>'FG Users'!O41</f>
        <v>-4940.5337194281165</v>
      </c>
      <c r="S35" s="299">
        <f>'FG Users'!P41</f>
        <v>-4989.9390566223974</v>
      </c>
      <c r="T35" s="299">
        <f>'FG Users'!Q41</f>
        <v>-5039.8384471886211</v>
      </c>
      <c r="U35" s="299">
        <f>'FG Users'!R41</f>
        <v>-5090.2368316605071</v>
      </c>
      <c r="V35" s="299">
        <f>'FG Users'!S41</f>
        <v>-5141.1391999771131</v>
      </c>
      <c r="W35" s="299">
        <f>'FG Users'!T41</f>
        <v>-5192.5505919768839</v>
      </c>
      <c r="X35" s="299">
        <f>'FG Users'!U41</f>
        <v>-5244.4760978966524</v>
      </c>
      <c r="Y35" s="299">
        <f>'FG Users'!V41</f>
        <v>-5296.9208588756192</v>
      </c>
      <c r="Z35" s="299">
        <f>'FG Users'!W41</f>
        <v>-5349.8900674643755</v>
      </c>
      <c r="AA35" s="299">
        <f>'FG Users'!X41</f>
        <v>-5403.3889681390192</v>
      </c>
      <c r="AB35" s="299">
        <f>'FG Users'!Y41</f>
        <v>-5457.4228578204093</v>
      </c>
      <c r="AC35" s="408">
        <f>'FG Users'!Z41</f>
        <v>-5511.9970863986136</v>
      </c>
      <c r="AD35" s="364">
        <f t="shared" si="0"/>
        <v>-99274.205726259854</v>
      </c>
    </row>
    <row r="36" spans="1:33" s="53" customFormat="1" ht="12">
      <c r="A36" s="58"/>
      <c r="B36" s="70"/>
      <c r="C36" s="78" t="s">
        <v>507</v>
      </c>
      <c r="D36" s="228"/>
      <c r="E36" s="235"/>
      <c r="F36" s="299">
        <f>'FG Users'!C42</f>
        <v>0</v>
      </c>
      <c r="G36" s="299">
        <f>'FG Users'!D42</f>
        <v>0</v>
      </c>
      <c r="H36" s="299">
        <f>'FG Users'!E42</f>
        <v>0</v>
      </c>
      <c r="I36" s="299">
        <f>'FG Users'!F42</f>
        <v>0</v>
      </c>
      <c r="J36" s="299">
        <f>'FG Users'!G42</f>
        <v>-34221.717836421907</v>
      </c>
      <c r="K36" s="299">
        <f>'FG Users'!H42</f>
        <v>-46911.711899058035</v>
      </c>
      <c r="L36" s="299">
        <f>'FG Users'!I42</f>
        <v>-47779.733678440978</v>
      </c>
      <c r="M36" s="299">
        <f>'FG Users'!J42</f>
        <v>-48671.282907077555</v>
      </c>
      <c r="N36" s="299">
        <f>'FG Users'!K42</f>
        <v>-49587.147473415229</v>
      </c>
      <c r="O36" s="299">
        <f>'FG Users'!L42</f>
        <v>-49931.591493217966</v>
      </c>
      <c r="P36" s="299">
        <f>'FG Users'!M42</f>
        <v>-50279.367896902091</v>
      </c>
      <c r="Q36" s="299">
        <f>'FG Users'!N42</f>
        <v>-50630.509925384729</v>
      </c>
      <c r="R36" s="299">
        <f>'FG Users'!O42</f>
        <v>-50985.05115193082</v>
      </c>
      <c r="S36" s="299">
        <f>'FG Users'!P42</f>
        <v>-51343.025485476581</v>
      </c>
      <c r="T36" s="299">
        <f>'FG Users'!Q42</f>
        <v>-51704.467173986093</v>
      </c>
      <c r="U36" s="299">
        <f>'FG Users'!R42</f>
        <v>-52069.41080784161</v>
      </c>
      <c r="V36" s="299">
        <f>'FG Users'!S42</f>
        <v>-52437.891323267657</v>
      </c>
      <c r="W36" s="299">
        <f>'FG Users'!T42</f>
        <v>-52809.944005789381</v>
      </c>
      <c r="X36" s="299">
        <f>'FG Users'!U42</f>
        <v>-53185.604493725608</v>
      </c>
      <c r="Y36" s="299">
        <f>'FG Users'!V42</f>
        <v>-53564.908781716622</v>
      </c>
      <c r="Z36" s="299">
        <f>'FG Users'!W42</f>
        <v>-53947.893224287414</v>
      </c>
      <c r="AA36" s="299">
        <f>'FG Users'!X42</f>
        <v>-54334.594539446422</v>
      </c>
      <c r="AB36" s="299">
        <f>'FG Users'!Y42</f>
        <v>-54725.049812320387</v>
      </c>
      <c r="AC36" s="408">
        <f>'FG Users'!Z42</f>
        <v>-55119.296498825424</v>
      </c>
      <c r="AD36" s="364">
        <f t="shared" si="0"/>
        <v>-1014240.2004085323</v>
      </c>
    </row>
    <row r="37" spans="1:33" s="53" customFormat="1" ht="12">
      <c r="A37" s="58"/>
      <c r="B37" s="70"/>
      <c r="C37" s="78" t="s">
        <v>508</v>
      </c>
      <c r="D37" s="228"/>
      <c r="E37" s="235"/>
      <c r="F37" s="299">
        <f>'FG Users'!C43</f>
        <v>0</v>
      </c>
      <c r="G37" s="299">
        <f>'FG Users'!D43</f>
        <v>0</v>
      </c>
      <c r="H37" s="299">
        <f>'FG Users'!E43</f>
        <v>0</v>
      </c>
      <c r="I37" s="299">
        <f>'FG Users'!F43</f>
        <v>0</v>
      </c>
      <c r="J37" s="299">
        <f>'FG Users'!G43</f>
        <v>-190648.66593674239</v>
      </c>
      <c r="K37" s="299">
        <f>'FG Users'!H43</f>
        <v>-261517.58984387721</v>
      </c>
      <c r="L37" s="299">
        <f>'FG Users'!I43</f>
        <v>-266725.6460348664</v>
      </c>
      <c r="M37" s="299">
        <f>'FG Users'!J43</f>
        <v>-272082.2897922541</v>
      </c>
      <c r="N37" s="299">
        <f>'FG Users'!K43</f>
        <v>-277592.59898241144</v>
      </c>
      <c r="O37" s="299">
        <f>'FG Users'!L43</f>
        <v>-279384.24651518144</v>
      </c>
      <c r="P37" s="299">
        <f>'FG Users'!M43</f>
        <v>-281193.08215722081</v>
      </c>
      <c r="Q37" s="299">
        <f>'FG Users'!N43</f>
        <v>-283019.2772506316</v>
      </c>
      <c r="R37" s="299">
        <f>'FG Users'!O43</f>
        <v>-284863.00485053746</v>
      </c>
      <c r="S37" s="299">
        <f>'FG Users'!P43</f>
        <v>-286724.4397422148</v>
      </c>
      <c r="T37" s="299">
        <f>'FG Users'!Q43</f>
        <v>-288603.75845839281</v>
      </c>
      <c r="U37" s="299">
        <f>'FG Users'!R43</f>
        <v>-290501.13929672848</v>
      </c>
      <c r="V37" s="299">
        <f>'FG Users'!S43</f>
        <v>-292416.76233745535</v>
      </c>
      <c r="W37" s="299">
        <f>'FG Users'!T43</f>
        <v>-294350.8094612087</v>
      </c>
      <c r="X37" s="299">
        <f>'FG Users'!U43</f>
        <v>-296303.46436703001</v>
      </c>
      <c r="Y37" s="299">
        <f>'FG Users'!V43</f>
        <v>-298274.91259054973</v>
      </c>
      <c r="Z37" s="299">
        <f>'FG Users'!W43</f>
        <v>-300265.34152235382</v>
      </c>
      <c r="AA37" s="299">
        <f>'FG Users'!X43</f>
        <v>-302274.94042653224</v>
      </c>
      <c r="AB37" s="299">
        <f>'FG Users'!Y43</f>
        <v>-304303.90045941423</v>
      </c>
      <c r="AC37" s="408">
        <f>'FG Users'!Z43</f>
        <v>-306352.41468849033</v>
      </c>
      <c r="AD37" s="364">
        <f t="shared" si="0"/>
        <v>-5657398.2847140934</v>
      </c>
    </row>
    <row r="38" spans="1:33" s="53" customFormat="1" ht="12">
      <c r="A38" s="58"/>
      <c r="B38" s="70"/>
      <c r="C38" s="54" t="s">
        <v>509</v>
      </c>
      <c r="D38" s="228"/>
      <c r="E38" s="235"/>
      <c r="F38" s="300">
        <f>'FG Users'!C44</f>
        <v>0</v>
      </c>
      <c r="G38" s="300">
        <f>'FG Users'!D44</f>
        <v>0</v>
      </c>
      <c r="H38" s="300">
        <f>'FG Users'!E44</f>
        <v>0</v>
      </c>
      <c r="I38" s="300">
        <f>'FG Users'!F44</f>
        <v>0</v>
      </c>
      <c r="J38" s="300">
        <f>'FG Users'!G44</f>
        <v>30759.789281862322</v>
      </c>
      <c r="K38" s="300">
        <f>'FG Users'!H44</f>
        <v>41321.688558233735</v>
      </c>
      <c r="L38" s="300">
        <f>'FG Users'!I44</f>
        <v>41290.976344390852</v>
      </c>
      <c r="M38" s="300">
        <f>'FG Users'!J44</f>
        <v>41284.029288817044</v>
      </c>
      <c r="N38" s="300">
        <f>'FG Users'!K44</f>
        <v>42097.823834945571</v>
      </c>
      <c r="O38" s="300">
        <f>'FG Users'!L44</f>
        <v>42347.108250984398</v>
      </c>
      <c r="P38" s="300">
        <f>'FG Users'!M44</f>
        <v>42598.732805883767</v>
      </c>
      <c r="Q38" s="300">
        <f>'FG Users'!N44</f>
        <v>42852.719731274687</v>
      </c>
      <c r="R38" s="300">
        <f>'FG Users'!O44</f>
        <v>43109.091471033127</v>
      </c>
      <c r="S38" s="300">
        <f>'FG Users'!P44</f>
        <v>43367.870683310692</v>
      </c>
      <c r="T38" s="300">
        <f>'FG Users'!Q44</f>
        <v>43629.080242584372</v>
      </c>
      <c r="U38" s="300">
        <f>'FG Users'!R44</f>
        <v>43892.743241726217</v>
      </c>
      <c r="V38" s="300">
        <f>'FG Users'!S44</f>
        <v>44158.882994092746</v>
      </c>
      <c r="W38" s="300">
        <f>'FG Users'!T44</f>
        <v>44427.523035634324</v>
      </c>
      <c r="X38" s="300">
        <f>'FG Users'!U44</f>
        <v>44698.687127025005</v>
      </c>
      <c r="Y38" s="300">
        <f>'FG Users'!V44</f>
        <v>44972.399255812445</v>
      </c>
      <c r="Z38" s="300">
        <f>'FG Users'!W44</f>
        <v>45248.683638588707</v>
      </c>
      <c r="AA38" s="300">
        <f>'FG Users'!X44</f>
        <v>45527.564723181778</v>
      </c>
      <c r="AB38" s="300">
        <f>'FG Users'!Y44</f>
        <v>45809.067190868074</v>
      </c>
      <c r="AC38" s="409">
        <f>'FG Users'!Z44</f>
        <v>46093.215958606204</v>
      </c>
      <c r="AD38" s="365">
        <f t="shared" si="0"/>
        <v>859487.67765885603</v>
      </c>
    </row>
    <row r="39" spans="1:33" s="53" customFormat="1" ht="12">
      <c r="A39" s="58"/>
      <c r="B39" s="70"/>
      <c r="C39" s="66"/>
      <c r="D39" s="228"/>
      <c r="E39" s="235"/>
      <c r="H39" s="59"/>
      <c r="I39" s="59"/>
      <c r="J39" s="59"/>
      <c r="K39" s="59"/>
      <c r="L39" s="59"/>
      <c r="M39" s="59"/>
      <c r="N39" s="59"/>
      <c r="O39" s="59"/>
      <c r="P39" s="59"/>
      <c r="Q39" s="59"/>
      <c r="R39" s="59"/>
      <c r="S39" s="59"/>
      <c r="T39" s="59"/>
      <c r="U39" s="59"/>
      <c r="V39" s="59"/>
      <c r="W39" s="59"/>
      <c r="X39" s="59"/>
      <c r="Y39" s="59"/>
      <c r="AC39" s="283"/>
      <c r="AD39" s="361">
        <f t="shared" si="0"/>
        <v>0</v>
      </c>
    </row>
    <row r="40" spans="1:33" s="53" customFormat="1" ht="12">
      <c r="A40" s="58" t="s">
        <v>233</v>
      </c>
      <c r="B40" s="58"/>
      <c r="D40" s="228"/>
      <c r="E40" s="235"/>
      <c r="H40" s="59"/>
      <c r="I40" s="59"/>
      <c r="J40" s="59"/>
      <c r="K40" s="59"/>
      <c r="L40" s="59"/>
      <c r="M40" s="59"/>
      <c r="N40" s="59"/>
      <c r="O40" s="59"/>
      <c r="P40" s="59"/>
      <c r="Q40" s="59"/>
      <c r="R40" s="59"/>
      <c r="S40" s="59"/>
      <c r="T40" s="59"/>
      <c r="U40" s="59"/>
      <c r="V40" s="59"/>
      <c r="W40" s="59"/>
      <c r="X40" s="59"/>
      <c r="Y40" s="59"/>
      <c r="AC40" s="283"/>
      <c r="AD40" s="361">
        <f t="shared" si="0"/>
        <v>0</v>
      </c>
    </row>
    <row r="41" spans="1:33" s="53" customFormat="1" ht="12">
      <c r="A41" s="58"/>
      <c r="B41" s="5" t="s">
        <v>369</v>
      </c>
      <c r="D41" s="228"/>
      <c r="E41" s="235"/>
      <c r="H41" s="59"/>
      <c r="I41" s="59"/>
      <c r="J41" s="59"/>
      <c r="K41" s="59"/>
      <c r="L41" s="59"/>
      <c r="M41" s="59"/>
      <c r="N41" s="59"/>
      <c r="O41" s="59"/>
      <c r="P41" s="59"/>
      <c r="Q41" s="59"/>
      <c r="R41" s="59"/>
      <c r="S41" s="59"/>
      <c r="T41" s="59"/>
      <c r="U41" s="59"/>
      <c r="V41" s="59"/>
      <c r="W41" s="59"/>
      <c r="X41" s="59"/>
      <c r="Y41" s="59"/>
      <c r="AC41" s="283"/>
      <c r="AD41" s="361">
        <f t="shared" si="0"/>
        <v>0</v>
      </c>
    </row>
    <row r="42" spans="1:33" s="53" customFormat="1" ht="12">
      <c r="A42" s="58"/>
      <c r="B42" s="70" t="s">
        <v>370</v>
      </c>
      <c r="C42" s="70" t="s">
        <v>366</v>
      </c>
      <c r="D42" s="228"/>
      <c r="E42" s="235"/>
      <c r="F42" s="105">
        <f>'FG Users'!C34</f>
        <v>0</v>
      </c>
      <c r="G42" s="105">
        <f>'FG Users'!D34</f>
        <v>0</v>
      </c>
      <c r="H42" s="105">
        <f>'FG Users'!E34</f>
        <v>14843250</v>
      </c>
      <c r="I42" s="105">
        <f>'FG Users'!F34</f>
        <v>22264875</v>
      </c>
      <c r="J42" s="105">
        <f>'FG Users'!G34</f>
        <v>0</v>
      </c>
      <c r="K42" s="105">
        <f>'FG Users'!H34</f>
        <v>0</v>
      </c>
      <c r="L42" s="105">
        <f>'FG Users'!I34</f>
        <v>0</v>
      </c>
      <c r="M42" s="105">
        <f>'FG Users'!J34</f>
        <v>0</v>
      </c>
      <c r="N42" s="105">
        <f>'FG Users'!K34</f>
        <v>0</v>
      </c>
      <c r="O42" s="105">
        <f>'FG Users'!L34</f>
        <v>0</v>
      </c>
      <c r="P42" s="105">
        <f>'FG Users'!M34</f>
        <v>0</v>
      </c>
      <c r="Q42" s="105">
        <f>'FG Users'!N34</f>
        <v>0</v>
      </c>
      <c r="R42" s="105">
        <f>'FG Users'!O34</f>
        <v>0</v>
      </c>
      <c r="S42" s="105">
        <f>'FG Users'!P34</f>
        <v>0</v>
      </c>
      <c r="T42" s="105">
        <f>'FG Users'!Q34</f>
        <v>0</v>
      </c>
      <c r="U42" s="105">
        <f>'FG Users'!R34</f>
        <v>0</v>
      </c>
      <c r="V42" s="105">
        <f>'FG Users'!S34</f>
        <v>0</v>
      </c>
      <c r="W42" s="105">
        <f>'FG Users'!T34</f>
        <v>0</v>
      </c>
      <c r="X42" s="105">
        <f>'FG Users'!U34</f>
        <v>0</v>
      </c>
      <c r="Y42" s="105">
        <f>'FG Users'!V34</f>
        <v>0</v>
      </c>
      <c r="Z42" s="105">
        <f>'FG Users'!W34</f>
        <v>0</v>
      </c>
      <c r="AA42" s="105">
        <f>'FG Users'!X34</f>
        <v>0</v>
      </c>
      <c r="AB42" s="105">
        <f>'FG Users'!Y34</f>
        <v>0</v>
      </c>
      <c r="AC42" s="287">
        <f>'FG Users'!Z34</f>
        <v>0</v>
      </c>
      <c r="AD42" s="366">
        <f t="shared" si="0"/>
        <v>37108125</v>
      </c>
    </row>
    <row r="43" spans="1:33" s="53" customFormat="1" ht="12">
      <c r="A43" s="58"/>
      <c r="B43" s="70" t="s">
        <v>371</v>
      </c>
      <c r="C43" s="70" t="s">
        <v>530</v>
      </c>
      <c r="D43" s="228"/>
      <c r="E43" s="235"/>
      <c r="F43" s="299">
        <f>'FG Users'!C35</f>
        <v>0</v>
      </c>
      <c r="G43" s="299">
        <f>'FG Users'!D35</f>
        <v>0</v>
      </c>
      <c r="H43" s="299">
        <f>'FG Users'!E35</f>
        <v>0</v>
      </c>
      <c r="I43" s="299">
        <f>'FG Users'!F35</f>
        <v>0</v>
      </c>
      <c r="J43" s="299">
        <f>'FG Users'!G35</f>
        <v>-17110.858918210954</v>
      </c>
      <c r="K43" s="299">
        <f>'FG Users'!H35</f>
        <v>-23455.855949529017</v>
      </c>
      <c r="L43" s="299">
        <f>'FG Users'!I35</f>
        <v>-23889.866839220489</v>
      </c>
      <c r="M43" s="299">
        <f>'FG Users'!J35</f>
        <v>-24335.641453538778</v>
      </c>
      <c r="N43" s="299">
        <f>'FG Users'!K35</f>
        <v>-24793.573736707614</v>
      </c>
      <c r="O43" s="299">
        <f>'FG Users'!L35</f>
        <v>-24965.795746608983</v>
      </c>
      <c r="P43" s="299">
        <f>'FG Users'!M35</f>
        <v>-25139.683948451046</v>
      </c>
      <c r="Q43" s="299">
        <f>'FG Users'!N35</f>
        <v>-25315.254962692365</v>
      </c>
      <c r="R43" s="299">
        <f>'FG Users'!O35</f>
        <v>-25492.52557596541</v>
      </c>
      <c r="S43" s="299">
        <f>'FG Users'!P35</f>
        <v>-25671.51274273829</v>
      </c>
      <c r="T43" s="299">
        <f>'FG Users'!Q35</f>
        <v>-25852.233586993047</v>
      </c>
      <c r="U43" s="299">
        <f>'FG Users'!R35</f>
        <v>-26034.705403920805</v>
      </c>
      <c r="V43" s="299">
        <f>'FG Users'!S35</f>
        <v>-26218.945661633828</v>
      </c>
      <c r="W43" s="299">
        <f>'FG Users'!T35</f>
        <v>-26404.97200289469</v>
      </c>
      <c r="X43" s="299">
        <f>'FG Users'!U35</f>
        <v>-26592.802246862804</v>
      </c>
      <c r="Y43" s="299">
        <f>'FG Users'!V35</f>
        <v>-26782.454390858311</v>
      </c>
      <c r="Z43" s="299">
        <f>'FG Users'!W35</f>
        <v>-26973.946612143707</v>
      </c>
      <c r="AA43" s="299">
        <f>'FG Users'!X35</f>
        <v>-27167.297269723211</v>
      </c>
      <c r="AB43" s="299">
        <f>'FG Users'!Y35</f>
        <v>-27362.524906160193</v>
      </c>
      <c r="AC43" s="408">
        <f>'FG Users'!Z35</f>
        <v>-27559.648249412712</v>
      </c>
      <c r="AD43" s="364">
        <f t="shared" si="0"/>
        <v>-507120.10020426614</v>
      </c>
    </row>
    <row r="44" spans="1:33" s="53" customFormat="1" ht="12">
      <c r="A44" s="58"/>
      <c r="B44" s="70"/>
      <c r="C44" s="70" t="s">
        <v>366</v>
      </c>
      <c r="D44" s="228"/>
      <c r="E44" s="235"/>
      <c r="F44" s="105">
        <f>'FG Users'!C36</f>
        <v>0</v>
      </c>
      <c r="G44" s="105">
        <f>'FG Users'!D36</f>
        <v>0</v>
      </c>
      <c r="H44" s="105">
        <f>'FG Users'!E36</f>
        <v>0</v>
      </c>
      <c r="I44" s="105">
        <f>'FG Users'!F36</f>
        <v>0</v>
      </c>
      <c r="J44" s="105">
        <f>'FG Users'!G36</f>
        <v>30081701.641081788</v>
      </c>
      <c r="K44" s="105">
        <f>'FG Users'!H36</f>
        <v>30075356.644050471</v>
      </c>
      <c r="L44" s="105">
        <f>'FG Users'!I36</f>
        <v>30074922.633160781</v>
      </c>
      <c r="M44" s="105">
        <f>'FG Users'!J36</f>
        <v>30074476.858546462</v>
      </c>
      <c r="N44" s="105">
        <f>'FG Users'!K36</f>
        <v>30074018.926263291</v>
      </c>
      <c r="O44" s="105">
        <f>'FG Users'!L36</f>
        <v>30073846.70425339</v>
      </c>
      <c r="P44" s="105">
        <f>'FG Users'!M36</f>
        <v>30073672.81605155</v>
      </c>
      <c r="Q44" s="105">
        <f>'FG Users'!N36</f>
        <v>30073497.245037306</v>
      </c>
      <c r="R44" s="105">
        <f>'FG Users'!O36</f>
        <v>30073319.974424034</v>
      </c>
      <c r="S44" s="105">
        <f>'FG Users'!P36</f>
        <v>30073140.987257261</v>
      </c>
      <c r="T44" s="105">
        <f>'FG Users'!Q36</f>
        <v>30072960.266413007</v>
      </c>
      <c r="U44" s="105">
        <f>'FG Users'!R36</f>
        <v>30072777.79459608</v>
      </c>
      <c r="V44" s="105">
        <f>'FG Users'!S36</f>
        <v>30072593.554338366</v>
      </c>
      <c r="W44" s="105">
        <f>'FG Users'!T36</f>
        <v>30072407.527997106</v>
      </c>
      <c r="X44" s="105">
        <f>'FG Users'!U36</f>
        <v>30072219.697753139</v>
      </c>
      <c r="Y44" s="105">
        <f>'FG Users'!V36</f>
        <v>30072030.045609143</v>
      </c>
      <c r="Z44" s="105">
        <f>'FG Users'!W36</f>
        <v>30071838.553387858</v>
      </c>
      <c r="AA44" s="105">
        <f>'FG Users'!X36</f>
        <v>30071645.202730276</v>
      </c>
      <c r="AB44" s="105">
        <f>'FG Users'!Y36</f>
        <v>30071449.975093842</v>
      </c>
      <c r="AC44" s="287">
        <f>'FG Users'!Z36</f>
        <v>30071252.851750586</v>
      </c>
      <c r="AD44" s="366">
        <f t="shared" si="0"/>
        <v>601469129.89979577</v>
      </c>
    </row>
    <row r="45" spans="1:33" s="53" customFormat="1" ht="12">
      <c r="A45" s="58"/>
      <c r="B45" s="58"/>
      <c r="D45" s="228"/>
      <c r="E45" s="235"/>
      <c r="AC45" s="283"/>
      <c r="AD45" s="361">
        <f t="shared" si="0"/>
        <v>0</v>
      </c>
    </row>
    <row r="46" spans="1:33" s="53" customFormat="1" ht="12">
      <c r="A46" s="58"/>
      <c r="B46" s="58"/>
      <c r="D46" s="228"/>
      <c r="E46" s="235"/>
      <c r="H46" s="59"/>
      <c r="I46" s="59"/>
      <c r="J46" s="59"/>
      <c r="K46" s="59"/>
      <c r="L46" s="59"/>
      <c r="M46" s="59"/>
      <c r="N46" s="59"/>
      <c r="O46" s="59"/>
      <c r="P46" s="59"/>
      <c r="Q46" s="59"/>
      <c r="R46" s="59"/>
      <c r="S46" s="59"/>
      <c r="T46" s="59"/>
      <c r="U46" s="59"/>
      <c r="V46" s="59"/>
      <c r="W46" s="59"/>
      <c r="X46" s="59"/>
      <c r="Y46" s="59"/>
      <c r="AC46" s="283"/>
      <c r="AD46" s="361">
        <f t="shared" si="0"/>
        <v>0</v>
      </c>
    </row>
    <row r="47" spans="1:33" s="53" customFormat="1" ht="12">
      <c r="A47" s="58" t="s">
        <v>364</v>
      </c>
      <c r="B47" s="58"/>
      <c r="D47" s="228"/>
      <c r="E47" s="235"/>
      <c r="H47" s="59"/>
      <c r="I47" s="59"/>
      <c r="J47" s="59"/>
      <c r="K47" s="59"/>
      <c r="L47" s="59"/>
      <c r="M47" s="59"/>
      <c r="N47" s="59"/>
      <c r="O47" s="59"/>
      <c r="P47" s="59"/>
      <c r="Q47" s="59"/>
      <c r="R47" s="59"/>
      <c r="S47" s="59"/>
      <c r="T47" s="59"/>
      <c r="U47" s="59"/>
      <c r="V47" s="59"/>
      <c r="W47" s="59"/>
      <c r="X47" s="59"/>
      <c r="Y47" s="59"/>
      <c r="AC47" s="283"/>
      <c r="AD47" s="361">
        <f t="shared" si="0"/>
        <v>0</v>
      </c>
    </row>
    <row r="48" spans="1:33" s="53" customFormat="1" ht="12">
      <c r="A48" s="58"/>
      <c r="B48" s="58"/>
      <c r="C48" s="216" t="s">
        <v>365</v>
      </c>
      <c r="D48" s="228"/>
      <c r="E48" s="235"/>
      <c r="H48" s="59"/>
      <c r="I48" s="59"/>
      <c r="J48" s="59"/>
      <c r="K48" s="59"/>
      <c r="L48" s="59"/>
      <c r="M48" s="59"/>
      <c r="N48" s="59"/>
      <c r="O48" s="59"/>
      <c r="P48" s="59"/>
      <c r="Q48" s="59"/>
      <c r="R48" s="59"/>
      <c r="S48" s="59"/>
      <c r="T48" s="59"/>
      <c r="U48" s="59"/>
      <c r="V48" s="59"/>
      <c r="W48" s="59"/>
      <c r="X48" s="59"/>
      <c r="Y48" s="59"/>
      <c r="AC48" s="283"/>
      <c r="AD48" s="361">
        <f t="shared" si="0"/>
        <v>0</v>
      </c>
    </row>
    <row r="49" spans="1:30" s="53" customFormat="1" ht="12">
      <c r="A49" s="58"/>
      <c r="B49" s="58"/>
      <c r="D49" s="228"/>
      <c r="E49" s="235"/>
      <c r="H49" s="59"/>
      <c r="I49" s="59"/>
      <c r="J49" s="59"/>
      <c r="K49" s="59"/>
      <c r="L49" s="59"/>
      <c r="M49" s="59"/>
      <c r="N49" s="59"/>
      <c r="O49" s="59"/>
      <c r="P49" s="59"/>
      <c r="Q49" s="59"/>
      <c r="R49" s="59"/>
      <c r="S49" s="59"/>
      <c r="T49" s="59"/>
      <c r="U49" s="59"/>
      <c r="V49" s="59"/>
      <c r="W49" s="59"/>
      <c r="X49" s="59"/>
      <c r="Y49" s="59"/>
      <c r="AC49" s="283"/>
      <c r="AD49" s="361">
        <f t="shared" si="0"/>
        <v>0</v>
      </c>
    </row>
    <row r="50" spans="1:30" s="53" customFormat="1" ht="12">
      <c r="A50" s="58"/>
      <c r="B50" s="58"/>
      <c r="D50" s="228"/>
      <c r="E50" s="235"/>
      <c r="H50" s="59"/>
      <c r="I50" s="59"/>
      <c r="J50" s="59"/>
      <c r="K50" s="59"/>
      <c r="L50" s="59"/>
      <c r="M50" s="59"/>
      <c r="N50" s="59"/>
      <c r="O50" s="59"/>
      <c r="P50" s="59"/>
      <c r="Q50" s="59"/>
      <c r="R50" s="59"/>
      <c r="S50" s="59"/>
      <c r="T50" s="59"/>
      <c r="U50" s="59"/>
      <c r="V50" s="59"/>
      <c r="W50" s="59"/>
      <c r="X50" s="59"/>
      <c r="Y50" s="59"/>
      <c r="AC50" s="283"/>
      <c r="AD50" s="361">
        <f t="shared" si="0"/>
        <v>0</v>
      </c>
    </row>
    <row r="51" spans="1:30" s="53" customFormat="1" ht="12">
      <c r="A51" s="58"/>
      <c r="B51" s="58"/>
      <c r="C51" s="45"/>
      <c r="D51" s="229"/>
      <c r="E51" s="235"/>
      <c r="F51" s="59"/>
      <c r="G51" s="59"/>
      <c r="H51" s="59"/>
      <c r="I51" s="59"/>
      <c r="J51" s="59"/>
      <c r="K51" s="59"/>
      <c r="L51" s="59"/>
      <c r="M51" s="59"/>
      <c r="N51" s="59"/>
      <c r="O51" s="59"/>
      <c r="P51" s="59"/>
      <c r="Q51" s="59"/>
      <c r="R51" s="59"/>
      <c r="S51" s="59"/>
      <c r="T51" s="59"/>
      <c r="U51" s="59"/>
      <c r="V51" s="59"/>
      <c r="W51" s="59"/>
      <c r="X51" s="59"/>
      <c r="Y51" s="59"/>
      <c r="AC51" s="283"/>
      <c r="AD51" s="361">
        <f t="shared" si="0"/>
        <v>0</v>
      </c>
    </row>
    <row r="52" spans="1:30" s="53" customFormat="1" ht="12">
      <c r="A52" s="44" t="s">
        <v>362</v>
      </c>
      <c r="B52" s="44"/>
      <c r="C52" s="45"/>
      <c r="D52" s="229"/>
      <c r="E52" s="236"/>
      <c r="F52" s="45"/>
      <c r="G52" s="59"/>
      <c r="H52" s="59"/>
      <c r="I52" s="59"/>
      <c r="J52" s="59"/>
      <c r="K52" s="59"/>
      <c r="L52" s="59"/>
      <c r="M52" s="59"/>
      <c r="N52" s="59"/>
      <c r="O52" s="59"/>
      <c r="P52" s="59"/>
      <c r="Q52" s="59"/>
      <c r="R52" s="59"/>
      <c r="S52" s="59"/>
      <c r="T52" s="59"/>
      <c r="U52" s="59"/>
      <c r="V52" s="59"/>
      <c r="W52" s="59"/>
      <c r="X52" s="59"/>
      <c r="Y52" s="59"/>
      <c r="AC52" s="283"/>
      <c r="AD52" s="361">
        <f t="shared" si="0"/>
        <v>0</v>
      </c>
    </row>
    <row r="53" spans="1:30" s="53" customFormat="1" ht="12">
      <c r="A53" s="44"/>
      <c r="B53" s="44"/>
      <c r="C53" s="45"/>
      <c r="D53" s="229"/>
      <c r="E53" s="236"/>
      <c r="F53" s="45"/>
      <c r="G53" s="59"/>
      <c r="H53" s="59"/>
      <c r="I53" s="59"/>
      <c r="J53" s="59"/>
      <c r="K53" s="59"/>
      <c r="L53" s="59"/>
      <c r="M53" s="59"/>
      <c r="N53" s="59"/>
      <c r="O53" s="59"/>
      <c r="P53" s="59"/>
      <c r="Q53" s="59"/>
      <c r="R53" s="59"/>
      <c r="S53" s="59"/>
      <c r="T53" s="59"/>
      <c r="U53" s="59"/>
      <c r="V53" s="59"/>
      <c r="W53" s="59"/>
      <c r="X53" s="59"/>
      <c r="Y53" s="59"/>
      <c r="AC53" s="283"/>
      <c r="AD53" s="361">
        <f t="shared" si="0"/>
        <v>0</v>
      </c>
    </row>
    <row r="54" spans="1:30" s="53" customFormat="1" ht="12">
      <c r="A54" s="44"/>
      <c r="B54" s="5" t="s">
        <v>367</v>
      </c>
      <c r="C54" s="45"/>
      <c r="D54" s="229"/>
      <c r="E54" s="236"/>
      <c r="F54" s="45"/>
      <c r="G54" s="59"/>
      <c r="H54" s="59"/>
      <c r="I54" s="59"/>
      <c r="J54" s="59"/>
      <c r="K54" s="59"/>
      <c r="L54" s="59"/>
      <c r="M54" s="59"/>
      <c r="N54" s="59"/>
      <c r="O54" s="59"/>
      <c r="P54" s="59"/>
      <c r="Q54" s="59"/>
      <c r="R54" s="59"/>
      <c r="S54" s="59"/>
      <c r="T54" s="59"/>
      <c r="U54" s="59"/>
      <c r="V54" s="59"/>
      <c r="W54" s="59"/>
      <c r="X54" s="59"/>
      <c r="Y54" s="59"/>
      <c r="AC54" s="283"/>
      <c r="AD54" s="361">
        <f t="shared" si="0"/>
        <v>0</v>
      </c>
    </row>
    <row r="55" spans="1:30" s="53" customFormat="1" ht="12">
      <c r="A55" s="44"/>
      <c r="B55" s="270" t="s">
        <v>463</v>
      </c>
      <c r="C55" s="70" t="s">
        <v>366</v>
      </c>
      <c r="D55" s="229"/>
      <c r="E55" s="236"/>
      <c r="F55" s="45"/>
      <c r="G55" s="59"/>
      <c r="H55" s="59"/>
      <c r="I55" s="59"/>
      <c r="J55" s="59"/>
      <c r="K55" s="59"/>
      <c r="L55" s="59"/>
      <c r="M55" s="59"/>
      <c r="N55" s="59"/>
      <c r="O55" s="59"/>
      <c r="P55" s="59"/>
      <c r="Q55" s="59"/>
      <c r="R55" s="59"/>
      <c r="S55" s="59"/>
      <c r="T55" s="59"/>
      <c r="U55" s="59"/>
      <c r="V55" s="59"/>
      <c r="W55" s="59"/>
      <c r="X55" s="59"/>
      <c r="Y55" s="59"/>
      <c r="AC55" s="283"/>
      <c r="AD55" s="361">
        <f t="shared" si="0"/>
        <v>0</v>
      </c>
    </row>
    <row r="56" spans="1:30" s="53" customFormat="1" ht="12">
      <c r="A56" s="44"/>
      <c r="C56" s="63" t="s">
        <v>131</v>
      </c>
      <c r="D56" s="229"/>
      <c r="E56" s="236"/>
      <c r="F56" s="45"/>
      <c r="G56" s="59"/>
      <c r="H56" s="59"/>
      <c r="I56" s="59"/>
      <c r="J56" s="59"/>
      <c r="K56" s="59"/>
      <c r="L56" s="59"/>
      <c r="M56" s="59"/>
      <c r="N56" s="59"/>
      <c r="O56" s="59"/>
      <c r="P56" s="59"/>
      <c r="Q56" s="59"/>
      <c r="R56" s="59"/>
      <c r="S56" s="59"/>
      <c r="T56" s="59"/>
      <c r="U56" s="59"/>
      <c r="V56" s="59"/>
      <c r="W56" s="59"/>
      <c r="X56" s="59"/>
      <c r="Y56" s="59"/>
      <c r="AC56" s="283"/>
      <c r="AD56" s="361">
        <f t="shared" si="0"/>
        <v>0</v>
      </c>
    </row>
    <row r="57" spans="1:30" s="53" customFormat="1" ht="12">
      <c r="A57" s="44"/>
      <c r="C57" s="245" t="s">
        <v>428</v>
      </c>
      <c r="D57" s="267">
        <f>(71+48)/3600</f>
        <v>3.3055555555555553E-2</v>
      </c>
      <c r="E57" s="236"/>
      <c r="F57" s="45"/>
      <c r="G57" s="59"/>
      <c r="H57" s="59"/>
      <c r="I57" s="59"/>
      <c r="J57" s="59"/>
      <c r="K57" s="59"/>
      <c r="L57" s="59"/>
      <c r="M57" s="59"/>
      <c r="N57" s="59"/>
      <c r="O57" s="59"/>
      <c r="P57" s="59"/>
      <c r="Q57" s="59"/>
      <c r="R57" s="59"/>
      <c r="S57" s="59"/>
      <c r="T57" s="59"/>
      <c r="U57" s="59"/>
      <c r="V57" s="59"/>
      <c r="W57" s="59"/>
      <c r="X57" s="59"/>
      <c r="Y57" s="59"/>
      <c r="AC57" s="283"/>
      <c r="AD57" s="361">
        <f t="shared" si="0"/>
        <v>0</v>
      </c>
    </row>
    <row r="58" spans="1:30" s="53" customFormat="1" ht="12">
      <c r="A58" s="44"/>
      <c r="C58" s="243" t="s">
        <v>419</v>
      </c>
      <c r="D58" s="273">
        <v>26.21</v>
      </c>
      <c r="E58" s="236"/>
      <c r="F58" s="45"/>
      <c r="G58" s="59"/>
      <c r="H58" s="59"/>
      <c r="I58" s="59"/>
      <c r="J58" s="59"/>
      <c r="K58" s="59"/>
      <c r="L58" s="59"/>
      <c r="M58" s="59"/>
      <c r="N58" s="59"/>
      <c r="O58" s="59"/>
      <c r="P58" s="59"/>
      <c r="Q58" s="59"/>
      <c r="R58" s="59"/>
      <c r="S58" s="59"/>
      <c r="T58" s="59"/>
      <c r="U58" s="59"/>
      <c r="V58" s="59"/>
      <c r="W58" s="59"/>
      <c r="X58" s="59"/>
      <c r="Y58" s="59"/>
      <c r="AC58" s="283"/>
      <c r="AD58" s="361">
        <f t="shared" si="0"/>
        <v>0</v>
      </c>
    </row>
    <row r="59" spans="1:30" s="53" customFormat="1" ht="12">
      <c r="A59" s="44"/>
      <c r="C59" s="62" t="s">
        <v>429</v>
      </c>
      <c r="D59" s="273"/>
      <c r="E59" s="236"/>
      <c r="F59" s="305">
        <v>0</v>
      </c>
      <c r="G59" s="305">
        <v>0</v>
      </c>
      <c r="H59" s="305">
        <v>0</v>
      </c>
      <c r="I59" s="338">
        <v>0</v>
      </c>
      <c r="J59" s="338">
        <f t="shared" ref="J59:AC59" si="1">$D$58*$D$57*J10</f>
        <v>172328.52993578042</v>
      </c>
      <c r="K59" s="338">
        <f t="shared" si="1"/>
        <v>238323.46375998686</v>
      </c>
      <c r="L59" s="338">
        <f t="shared" si="1"/>
        <v>247193.8630811336</v>
      </c>
      <c r="M59" s="338">
        <f t="shared" si="1"/>
        <v>256394.41866501342</v>
      </c>
      <c r="N59" s="338">
        <f t="shared" si="1"/>
        <v>265937.41892772523</v>
      </c>
      <c r="O59" s="338">
        <f t="shared" si="1"/>
        <v>266134.21261773171</v>
      </c>
      <c r="P59" s="338">
        <f t="shared" si="1"/>
        <v>266331.15193506883</v>
      </c>
      <c r="Q59" s="338">
        <f t="shared" si="1"/>
        <v>266528.2369875008</v>
      </c>
      <c r="R59" s="338">
        <f t="shared" si="1"/>
        <v>266725.46788287151</v>
      </c>
      <c r="S59" s="338">
        <f t="shared" si="1"/>
        <v>266922.84472910484</v>
      </c>
      <c r="T59" s="338">
        <f t="shared" si="1"/>
        <v>267120.36763420433</v>
      </c>
      <c r="U59" s="338">
        <f t="shared" si="1"/>
        <v>267318.03670625365</v>
      </c>
      <c r="V59" s="338">
        <f t="shared" si="1"/>
        <v>267515.85205341625</v>
      </c>
      <c r="W59" s="338">
        <f t="shared" si="1"/>
        <v>267713.81378393574</v>
      </c>
      <c r="X59" s="338">
        <f t="shared" si="1"/>
        <v>267911.92200613586</v>
      </c>
      <c r="Y59" s="338">
        <f t="shared" si="1"/>
        <v>268110.17682842037</v>
      </c>
      <c r="Z59" s="338">
        <f t="shared" si="1"/>
        <v>268308.5783592735</v>
      </c>
      <c r="AA59" s="338">
        <f t="shared" si="1"/>
        <v>268507.12670725927</v>
      </c>
      <c r="AB59" s="338">
        <f t="shared" si="1"/>
        <v>268705.82198102266</v>
      </c>
      <c r="AC59" s="339">
        <f t="shared" si="1"/>
        <v>268904.66428928857</v>
      </c>
      <c r="AD59" s="367">
        <f t="shared" si="0"/>
        <v>5192935.9688711278</v>
      </c>
    </row>
    <row r="60" spans="1:30" s="53" customFormat="1" ht="12">
      <c r="A60" s="44"/>
      <c r="B60" s="44"/>
      <c r="D60" s="273"/>
      <c r="E60" s="236"/>
      <c r="G60" s="59"/>
      <c r="H60" s="59"/>
      <c r="I60" s="59"/>
      <c r="J60" s="59"/>
      <c r="K60" s="59"/>
      <c r="L60" s="59"/>
      <c r="M60" s="59"/>
      <c r="N60" s="59"/>
      <c r="O60" s="59"/>
      <c r="P60" s="59"/>
      <c r="Q60" s="59"/>
      <c r="R60" s="59"/>
      <c r="S60" s="59"/>
      <c r="T60" s="59"/>
      <c r="U60" s="59"/>
      <c r="V60" s="59"/>
      <c r="W60" s="59"/>
      <c r="X60" s="59"/>
      <c r="Y60" s="59"/>
      <c r="AC60" s="283"/>
      <c r="AD60" s="361">
        <f t="shared" si="0"/>
        <v>0</v>
      </c>
    </row>
    <row r="61" spans="1:30" s="53" customFormat="1" ht="12">
      <c r="A61" s="44"/>
      <c r="B61" s="270" t="s">
        <v>462</v>
      </c>
      <c r="C61" s="54" t="s">
        <v>425</v>
      </c>
      <c r="D61" s="273"/>
      <c r="E61" s="236"/>
      <c r="F61" s="45">
        <f>F11</f>
        <v>0</v>
      </c>
      <c r="G61" s="45">
        <f t="shared" ref="G61:AC61" si="2">G11</f>
        <v>0</v>
      </c>
      <c r="H61" s="45">
        <f t="shared" si="2"/>
        <v>0</v>
      </c>
      <c r="I61" s="104">
        <f t="shared" si="2"/>
        <v>0</v>
      </c>
      <c r="J61" s="104">
        <f t="shared" si="2"/>
        <v>9945.2500291570286</v>
      </c>
      <c r="K61" s="104">
        <f t="shared" si="2"/>
        <v>13753.882980323002</v>
      </c>
      <c r="L61" s="104">
        <f t="shared" si="2"/>
        <v>14265.802504850624</v>
      </c>
      <c r="M61" s="104">
        <f t="shared" si="2"/>
        <v>14796.775674081167</v>
      </c>
      <c r="N61" s="104">
        <f t="shared" si="2"/>
        <v>15347.511664670468</v>
      </c>
      <c r="O61" s="104">
        <f t="shared" si="2"/>
        <v>15358.868823302322</v>
      </c>
      <c r="P61" s="104">
        <f t="shared" si="2"/>
        <v>15370.234386231568</v>
      </c>
      <c r="Q61" s="104">
        <f t="shared" si="2"/>
        <v>15381.608359677377</v>
      </c>
      <c r="R61" s="104">
        <f t="shared" si="2"/>
        <v>15392.990749863538</v>
      </c>
      <c r="S61" s="104">
        <f t="shared" si="2"/>
        <v>15404.381563018438</v>
      </c>
      <c r="T61" s="104">
        <f t="shared" si="2"/>
        <v>15415.780805375067</v>
      </c>
      <c r="U61" s="104">
        <f t="shared" si="2"/>
        <v>15427.188483171047</v>
      </c>
      <c r="V61" s="104">
        <f t="shared" si="2"/>
        <v>15438.604602648593</v>
      </c>
      <c r="W61" s="104">
        <f t="shared" si="2"/>
        <v>15450.029170054549</v>
      </c>
      <c r="X61" s="104">
        <f t="shared" si="2"/>
        <v>15461.462191640392</v>
      </c>
      <c r="Y61" s="104">
        <f t="shared" si="2"/>
        <v>15472.903673662202</v>
      </c>
      <c r="Z61" s="104">
        <f t="shared" si="2"/>
        <v>15484.353622380717</v>
      </c>
      <c r="AA61" s="104">
        <f t="shared" si="2"/>
        <v>15495.812044061273</v>
      </c>
      <c r="AB61" s="104">
        <f t="shared" si="2"/>
        <v>15507.278944973881</v>
      </c>
      <c r="AC61" s="287">
        <f t="shared" si="2"/>
        <v>15518.75433139316</v>
      </c>
      <c r="AD61" s="366">
        <f t="shared" si="0"/>
        <v>299689.47460453643</v>
      </c>
    </row>
    <row r="62" spans="1:30" s="53" customFormat="1" ht="12">
      <c r="A62" s="44"/>
      <c r="B62" s="70"/>
      <c r="C62" s="63" t="s">
        <v>131</v>
      </c>
      <c r="D62" s="273"/>
      <c r="E62" s="236"/>
      <c r="F62" s="45"/>
      <c r="G62" s="45"/>
      <c r="H62" s="45"/>
      <c r="I62" s="45"/>
      <c r="J62" s="45"/>
      <c r="K62" s="45"/>
      <c r="L62" s="45"/>
      <c r="M62" s="45"/>
      <c r="N62" s="45"/>
      <c r="O62" s="45"/>
      <c r="P62" s="45"/>
      <c r="Q62" s="45"/>
      <c r="R62" s="45"/>
      <c r="S62" s="45"/>
      <c r="T62" s="45"/>
      <c r="U62" s="45"/>
      <c r="V62" s="45"/>
      <c r="W62" s="45"/>
      <c r="X62" s="45"/>
      <c r="Y62" s="45"/>
      <c r="Z62" s="45"/>
      <c r="AA62" s="45"/>
      <c r="AB62" s="45"/>
      <c r="AC62" s="283"/>
      <c r="AD62" s="361">
        <f t="shared" si="0"/>
        <v>0</v>
      </c>
    </row>
    <row r="63" spans="1:30" s="53" customFormat="1" ht="12">
      <c r="A63" s="44"/>
      <c r="B63" s="70"/>
      <c r="C63" s="243" t="s">
        <v>403</v>
      </c>
      <c r="D63" s="273"/>
      <c r="E63" s="236"/>
      <c r="F63" s="318">
        <f>'Mode Operating Assumptions'!D29</f>
        <v>0.39100279786137265</v>
      </c>
      <c r="G63" s="318">
        <f>'Mode Operating Assumptions'!E29</f>
        <v>0.39205714599476826</v>
      </c>
      <c r="H63" s="318">
        <f>'Mode Operating Assumptions'!F29</f>
        <v>0.39311874523828177</v>
      </c>
      <c r="I63" s="318">
        <f>'Mode Operating Assumptions'!G29</f>
        <v>0.39418767065254157</v>
      </c>
      <c r="J63" s="318">
        <f>'Mode Operating Assumptions'!H29</f>
        <v>0.39526399833776032</v>
      </c>
      <c r="K63" s="318">
        <f>'Mode Operating Assumptions'!I29</f>
        <v>0.39634780545179538</v>
      </c>
      <c r="L63" s="318">
        <f>'Mode Operating Assumptions'!J29</f>
        <v>0.39743917022858699</v>
      </c>
      <c r="M63" s="318">
        <f>'Mode Operating Assumptions'!K29</f>
        <v>0.39853817199698321</v>
      </c>
      <c r="N63" s="318">
        <f>'Mode Operating Assumptions'!L29</f>
        <v>0.39964489119996166</v>
      </c>
      <c r="O63" s="318">
        <f>'Mode Operating Assumptions'!M29</f>
        <v>0.40075940941425758</v>
      </c>
      <c r="P63" s="318">
        <f>'Mode Operating Assumptions'!N29</f>
        <v>0.40188180937040846</v>
      </c>
      <c r="Q63" s="318">
        <f>'Mode Operating Assumptions'!O29</f>
        <v>0.40301217497322528</v>
      </c>
      <c r="R63" s="318">
        <f>'Mode Operating Assumptions'!P29</f>
        <v>0.40415059132270104</v>
      </c>
      <c r="S63" s="318">
        <f>'Mode Operating Assumptions'!Q29</f>
        <v>0.40529714473536788</v>
      </c>
      <c r="T63" s="318">
        <f>'Mode Operating Assumptions'!R29</f>
        <v>0.40645192276611369</v>
      </c>
      <c r="U63" s="318">
        <f>'Mode Operating Assumptions'!S29</f>
        <v>0.40761501423047014</v>
      </c>
      <c r="V63" s="318">
        <f>'Mode Operating Assumptions'!T29</f>
        <v>0.40878650922738302</v>
      </c>
      <c r="W63" s="318">
        <f>'Mode Operating Assumptions'!U29</f>
        <v>0.40996649916247907</v>
      </c>
      <c r="X63" s="318">
        <f>'Mode Operating Assumptions'!V29</f>
        <v>0.41115507677183999</v>
      </c>
      <c r="Y63" s="318">
        <f>'Mode Operating Assumptions'!W29</f>
        <v>0.41235233614629774</v>
      </c>
      <c r="Z63" s="318">
        <f>'Mode Operating Assumptions'!X29</f>
        <v>0.41355837275626389</v>
      </c>
      <c r="AA63" s="318">
        <f>'Mode Operating Assumptions'!Y29</f>
        <v>0.41477328347710757</v>
      </c>
      <c r="AB63" s="318">
        <f>'Mode Operating Assumptions'!Z29</f>
        <v>0.415997166615095</v>
      </c>
      <c r="AC63" s="321">
        <f>'Mode Operating Assumptions'!AA29</f>
        <v>0.41723012193390652</v>
      </c>
      <c r="AD63" s="368">
        <f t="shared" si="0"/>
        <v>9.6905878298649686</v>
      </c>
    </row>
    <row r="64" spans="1:30" s="53" customFormat="1" ht="12">
      <c r="A64" s="44"/>
      <c r="B64" s="70"/>
      <c r="C64" s="243" t="s">
        <v>420</v>
      </c>
      <c r="D64" s="273">
        <f>'Mode Operating Assumptions'!C152</f>
        <v>0.38127571701364549</v>
      </c>
      <c r="E64" s="236"/>
      <c r="F64" s="45"/>
      <c r="G64" s="45"/>
      <c r="H64" s="45"/>
      <c r="I64" s="45"/>
      <c r="J64" s="45"/>
      <c r="K64" s="45"/>
      <c r="L64" s="45"/>
      <c r="M64" s="45"/>
      <c r="N64" s="45"/>
      <c r="O64" s="45"/>
      <c r="P64" s="45"/>
      <c r="Q64" s="45"/>
      <c r="R64" s="45"/>
      <c r="S64" s="45"/>
      <c r="T64" s="45"/>
      <c r="U64" s="45"/>
      <c r="V64" s="45"/>
      <c r="W64" s="45"/>
      <c r="X64" s="45"/>
      <c r="Y64" s="45"/>
      <c r="Z64" s="45"/>
      <c r="AA64" s="45"/>
      <c r="AB64" s="45"/>
      <c r="AC64" s="283"/>
      <c r="AD64" s="361">
        <f t="shared" si="0"/>
        <v>0</v>
      </c>
    </row>
    <row r="65" spans="1:30" s="53" customFormat="1" ht="12">
      <c r="A65" s="44"/>
      <c r="B65" s="70"/>
      <c r="C65" s="243" t="s">
        <v>421</v>
      </c>
      <c r="D65" s="273">
        <f>'Mode Operating Assumptions'!C52</f>
        <v>0.234375</v>
      </c>
      <c r="E65" s="236"/>
      <c r="F65" s="45"/>
      <c r="G65" s="45"/>
      <c r="H65" s="45"/>
      <c r="I65" s="45"/>
      <c r="J65" s="45"/>
      <c r="K65" s="45"/>
      <c r="L65" s="45"/>
      <c r="M65" s="45"/>
      <c r="N65" s="45"/>
      <c r="O65" s="45"/>
      <c r="P65" s="45"/>
      <c r="Q65" s="45"/>
      <c r="R65" s="45"/>
      <c r="S65" s="45"/>
      <c r="T65" s="45"/>
      <c r="U65" s="45"/>
      <c r="V65" s="45"/>
      <c r="W65" s="45"/>
      <c r="X65" s="45"/>
      <c r="Y65" s="45"/>
      <c r="Z65" s="45"/>
      <c r="AA65" s="45"/>
      <c r="AB65" s="45"/>
      <c r="AC65" s="283"/>
      <c r="AD65" s="361">
        <f t="shared" si="0"/>
        <v>0</v>
      </c>
    </row>
    <row r="66" spans="1:30" s="53" customFormat="1" ht="12">
      <c r="A66" s="44"/>
      <c r="C66" s="243" t="s">
        <v>400</v>
      </c>
      <c r="D66" s="273">
        <v>13.91</v>
      </c>
      <c r="E66" s="236"/>
      <c r="F66" s="45"/>
      <c r="G66" s="45"/>
      <c r="H66" s="45"/>
      <c r="I66" s="45"/>
      <c r="J66" s="45"/>
      <c r="K66" s="45"/>
      <c r="L66" s="45"/>
      <c r="M66" s="45"/>
      <c r="N66" s="45"/>
      <c r="O66" s="45"/>
      <c r="P66" s="45"/>
      <c r="Q66" s="45"/>
      <c r="R66" s="45"/>
      <c r="S66" s="45"/>
      <c r="T66" s="45"/>
      <c r="U66" s="45"/>
      <c r="V66" s="45"/>
      <c r="W66" s="45"/>
      <c r="X66" s="45"/>
      <c r="Y66" s="45"/>
      <c r="Z66" s="45"/>
      <c r="AA66" s="45"/>
      <c r="AB66" s="45"/>
      <c r="AC66" s="283"/>
      <c r="AD66" s="361">
        <f t="shared" si="0"/>
        <v>0</v>
      </c>
    </row>
    <row r="67" spans="1:30" s="53" customFormat="1" ht="12">
      <c r="A67" s="44"/>
      <c r="B67" s="70"/>
      <c r="C67" s="243" t="s">
        <v>401</v>
      </c>
      <c r="D67" s="273">
        <v>13.91</v>
      </c>
      <c r="E67" s="236"/>
      <c r="F67" s="45"/>
      <c r="G67" s="45"/>
      <c r="H67" s="45"/>
      <c r="I67" s="45"/>
      <c r="J67" s="45"/>
      <c r="K67" s="45"/>
      <c r="L67" s="45"/>
      <c r="M67" s="45"/>
      <c r="N67" s="45"/>
      <c r="O67" s="45"/>
      <c r="P67" s="45"/>
      <c r="Q67" s="45"/>
      <c r="R67" s="45"/>
      <c r="S67" s="45"/>
      <c r="T67" s="45"/>
      <c r="U67" s="45"/>
      <c r="V67" s="45"/>
      <c r="W67" s="45"/>
      <c r="X67" s="45"/>
      <c r="Y67" s="45"/>
      <c r="Z67" s="45"/>
      <c r="AA67" s="45"/>
      <c r="AB67" s="45"/>
      <c r="AC67" s="283"/>
      <c r="AD67" s="361">
        <f t="shared" si="0"/>
        <v>0</v>
      </c>
    </row>
    <row r="68" spans="1:30" s="53" customFormat="1" ht="12">
      <c r="A68" s="44"/>
      <c r="B68" s="70"/>
      <c r="C68" s="243" t="s">
        <v>419</v>
      </c>
      <c r="D68" s="273">
        <f>D58</f>
        <v>26.21</v>
      </c>
      <c r="E68" s="236"/>
      <c r="F68" s="45"/>
      <c r="G68" s="45"/>
      <c r="H68" s="45"/>
      <c r="I68" s="45"/>
      <c r="J68" s="45"/>
      <c r="K68" s="45"/>
      <c r="L68" s="45"/>
      <c r="M68" s="45"/>
      <c r="N68" s="45"/>
      <c r="O68" s="45"/>
      <c r="P68" s="45"/>
      <c r="Q68" s="45"/>
      <c r="R68" s="45"/>
      <c r="S68" s="45"/>
      <c r="T68" s="45"/>
      <c r="U68" s="45"/>
      <c r="V68" s="45"/>
      <c r="W68" s="45"/>
      <c r="X68" s="45"/>
      <c r="Y68" s="45"/>
      <c r="Z68" s="45"/>
      <c r="AA68" s="45"/>
      <c r="AB68" s="45"/>
      <c r="AC68" s="283"/>
      <c r="AD68" s="361">
        <f t="shared" si="0"/>
        <v>0</v>
      </c>
    </row>
    <row r="69" spans="1:30" s="53" customFormat="1" ht="12">
      <c r="A69" s="44"/>
      <c r="B69" s="70"/>
      <c r="C69" s="78" t="s">
        <v>416</v>
      </c>
      <c r="D69" s="273"/>
      <c r="E69" s="236"/>
      <c r="F69" s="275">
        <f>+(F63*$D$66)-($D$64*$D$67)-($D$65*$D$68)</f>
        <v>-6.0076650554081157</v>
      </c>
      <c r="G69" s="275">
        <f>+(G63*$D$66)-($D$64*$D$67)-($D$65*$D$68)</f>
        <v>-5.9929990728725828</v>
      </c>
      <c r="H69" s="275">
        <f t="shared" ref="H69:AC69" si="3">+(H63*$D$66)-($D$64*$D$67)-($D$65*$D$68)</f>
        <v>-5.9782322273953099</v>
      </c>
      <c r="I69" s="275">
        <f t="shared" si="3"/>
        <v>-5.9633634748829563</v>
      </c>
      <c r="J69" s="275">
        <f t="shared" si="3"/>
        <v>-5.9483917567815627</v>
      </c>
      <c r="K69" s="275">
        <f t="shared" si="3"/>
        <v>-5.9333159998253358</v>
      </c>
      <c r="L69" s="275">
        <f t="shared" si="3"/>
        <v>-5.9181351157801645</v>
      </c>
      <c r="M69" s="275">
        <f t="shared" si="3"/>
        <v>-5.9028480011817726</v>
      </c>
      <c r="N69" s="275">
        <f t="shared" si="3"/>
        <v>-5.8874535370683425</v>
      </c>
      <c r="O69" s="275">
        <f t="shared" si="3"/>
        <v>-5.8719505887074863</v>
      </c>
      <c r="P69" s="275">
        <f t="shared" si="3"/>
        <v>-5.8563380053174274</v>
      </c>
      <c r="Q69" s="275">
        <f t="shared" si="3"/>
        <v>-5.8406146197822455</v>
      </c>
      <c r="R69" s="275">
        <f t="shared" si="3"/>
        <v>-5.8247792483610379</v>
      </c>
      <c r="S69" s="275">
        <f t="shared" si="3"/>
        <v>-5.8088306903908418</v>
      </c>
      <c r="T69" s="275">
        <f t="shared" si="3"/>
        <v>-5.7927677279831675</v>
      </c>
      <c r="U69" s="275">
        <f t="shared" si="3"/>
        <v>-5.7765891257139694</v>
      </c>
      <c r="V69" s="275">
        <f t="shared" si="3"/>
        <v>-5.7602936303069114</v>
      </c>
      <c r="W69" s="275">
        <f t="shared" si="3"/>
        <v>-5.7438799703097256</v>
      </c>
      <c r="X69" s="275">
        <f t="shared" si="3"/>
        <v>-5.727346855763515</v>
      </c>
      <c r="Y69" s="275">
        <f t="shared" si="3"/>
        <v>-5.7106929778648077</v>
      </c>
      <c r="Z69" s="275">
        <f t="shared" si="3"/>
        <v>-5.6939170086201782</v>
      </c>
      <c r="AA69" s="275">
        <f t="shared" si="3"/>
        <v>-5.6770176004932429</v>
      </c>
      <c r="AB69" s="275">
        <f t="shared" si="3"/>
        <v>-5.6599933860438378</v>
      </c>
      <c r="AC69" s="288">
        <f t="shared" si="3"/>
        <v>-5.6428429775591695</v>
      </c>
      <c r="AD69" s="369">
        <f t="shared" si="0"/>
        <v>-139.92025865441371</v>
      </c>
    </row>
    <row r="70" spans="1:30" s="53" customFormat="1" ht="12">
      <c r="A70" s="44"/>
      <c r="B70" s="70"/>
      <c r="D70" s="273"/>
      <c r="E70" s="236"/>
      <c r="F70" s="275">
        <f>F69*F61</f>
        <v>0</v>
      </c>
      <c r="G70" s="275">
        <f t="shared" ref="G70:AC70" si="4">G69*G61</f>
        <v>0</v>
      </c>
      <c r="H70" s="275">
        <f t="shared" si="4"/>
        <v>0</v>
      </c>
      <c r="I70" s="275">
        <f t="shared" si="4"/>
        <v>0</v>
      </c>
      <c r="J70" s="275">
        <f t="shared" si="4"/>
        <v>-59158.243292569263</v>
      </c>
      <c r="K70" s="275">
        <f t="shared" si="4"/>
        <v>-81606.133946875838</v>
      </c>
      <c r="L70" s="275">
        <f t="shared" si="4"/>
        <v>-84426.946758741105</v>
      </c>
      <c r="M70" s="275">
        <f t="shared" si="4"/>
        <v>-87343.117711685089</v>
      </c>
      <c r="N70" s="275">
        <f t="shared" si="4"/>
        <v>-90357.761835361787</v>
      </c>
      <c r="O70" s="275">
        <f t="shared" si="4"/>
        <v>-90186.518828871122</v>
      </c>
      <c r="P70" s="275">
        <f t="shared" si="4"/>
        <v>-90013.287786724715</v>
      </c>
      <c r="Q70" s="275">
        <f t="shared" si="4"/>
        <v>-89838.046661296496</v>
      </c>
      <c r="R70" s="275">
        <f t="shared" si="4"/>
        <v>-89660.773090018556</v>
      </c>
      <c r="S70" s="275">
        <f t="shared" si="4"/>
        <v>-89481.444389752345</v>
      </c>
      <c r="T70" s="275">
        <f t="shared" si="4"/>
        <v>-89300.037551039044</v>
      </c>
      <c r="U70" s="275">
        <f t="shared" si="4"/>
        <v>-89116.529232225657</v>
      </c>
      <c r="V70" s="275">
        <f t="shared" si="4"/>
        <v>-88930.895753463657</v>
      </c>
      <c r="W70" s="275">
        <f t="shared" si="4"/>
        <v>-88743.113090577317</v>
      </c>
      <c r="X70" s="275">
        <f t="shared" si="4"/>
        <v>-88553.156868798062</v>
      </c>
      <c r="Y70" s="275">
        <f t="shared" si="4"/>
        <v>-88361.002356361321</v>
      </c>
      <c r="Z70" s="275">
        <f t="shared" si="4"/>
        <v>-88166.624457963029</v>
      </c>
      <c r="AA70" s="275">
        <f t="shared" si="4"/>
        <v>-87969.997708071023</v>
      </c>
      <c r="AB70" s="275">
        <f t="shared" si="4"/>
        <v>-87771.096264089036</v>
      </c>
      <c r="AC70" s="288">
        <f t="shared" si="4"/>
        <v>-87569.893899367846</v>
      </c>
      <c r="AD70" s="369">
        <f t="shared" ref="AD70:AD133" si="5">SUM(F70:AC70)</f>
        <v>-1736554.6214838522</v>
      </c>
    </row>
    <row r="71" spans="1:30" s="53" customFormat="1" ht="12">
      <c r="A71" s="44"/>
      <c r="B71" s="70"/>
      <c r="C71" s="62" t="s">
        <v>429</v>
      </c>
      <c r="D71" s="229"/>
      <c r="E71" s="236"/>
      <c r="F71" s="309">
        <f>F70</f>
        <v>0</v>
      </c>
      <c r="G71" s="309">
        <f t="shared" ref="G71:AC71" si="6">G70</f>
        <v>0</v>
      </c>
      <c r="H71" s="309">
        <f t="shared" si="6"/>
        <v>0</v>
      </c>
      <c r="I71" s="309">
        <f t="shared" si="6"/>
        <v>0</v>
      </c>
      <c r="J71" s="309">
        <f t="shared" si="6"/>
        <v>-59158.243292569263</v>
      </c>
      <c r="K71" s="309">
        <f t="shared" si="6"/>
        <v>-81606.133946875838</v>
      </c>
      <c r="L71" s="309">
        <f t="shared" si="6"/>
        <v>-84426.946758741105</v>
      </c>
      <c r="M71" s="309">
        <f t="shared" si="6"/>
        <v>-87343.117711685089</v>
      </c>
      <c r="N71" s="309">
        <f t="shared" si="6"/>
        <v>-90357.761835361787</v>
      </c>
      <c r="O71" s="309">
        <f t="shared" si="6"/>
        <v>-90186.518828871122</v>
      </c>
      <c r="P71" s="309">
        <f t="shared" si="6"/>
        <v>-90013.287786724715</v>
      </c>
      <c r="Q71" s="309">
        <f t="shared" si="6"/>
        <v>-89838.046661296496</v>
      </c>
      <c r="R71" s="309">
        <f t="shared" si="6"/>
        <v>-89660.773090018556</v>
      </c>
      <c r="S71" s="309">
        <f t="shared" si="6"/>
        <v>-89481.444389752345</v>
      </c>
      <c r="T71" s="309">
        <f t="shared" si="6"/>
        <v>-89300.037551039044</v>
      </c>
      <c r="U71" s="309">
        <f t="shared" si="6"/>
        <v>-89116.529232225657</v>
      </c>
      <c r="V71" s="309">
        <f t="shared" si="6"/>
        <v>-88930.895753463657</v>
      </c>
      <c r="W71" s="309">
        <f t="shared" si="6"/>
        <v>-88743.113090577317</v>
      </c>
      <c r="X71" s="309">
        <f t="shared" si="6"/>
        <v>-88553.156868798062</v>
      </c>
      <c r="Y71" s="309">
        <f t="shared" si="6"/>
        <v>-88361.002356361321</v>
      </c>
      <c r="Z71" s="309">
        <f t="shared" si="6"/>
        <v>-88166.624457963029</v>
      </c>
      <c r="AA71" s="309">
        <f t="shared" si="6"/>
        <v>-87969.997708071023</v>
      </c>
      <c r="AB71" s="309">
        <f t="shared" si="6"/>
        <v>-87771.096264089036</v>
      </c>
      <c r="AC71" s="340">
        <f t="shared" si="6"/>
        <v>-87569.893899367846</v>
      </c>
      <c r="AD71" s="370">
        <f t="shared" si="5"/>
        <v>-1736554.6214838522</v>
      </c>
    </row>
    <row r="72" spans="1:30" s="53" customFormat="1" ht="12">
      <c r="A72" s="44"/>
      <c r="B72" s="70"/>
      <c r="D72" s="229"/>
      <c r="E72" s="236"/>
      <c r="F72" s="252"/>
      <c r="G72" s="252"/>
      <c r="H72" s="252"/>
      <c r="I72" s="252"/>
      <c r="J72" s="252"/>
      <c r="K72" s="252"/>
      <c r="L72" s="252"/>
      <c r="M72" s="252"/>
      <c r="N72" s="252"/>
      <c r="O72" s="252"/>
      <c r="P72" s="252"/>
      <c r="Q72" s="252"/>
      <c r="R72" s="252"/>
      <c r="S72" s="252"/>
      <c r="T72" s="252"/>
      <c r="U72" s="252"/>
      <c r="V72" s="252"/>
      <c r="W72" s="252"/>
      <c r="X72" s="252"/>
      <c r="Y72" s="252"/>
      <c r="Z72" s="252"/>
      <c r="AA72" s="252"/>
      <c r="AB72" s="252"/>
      <c r="AC72" s="286"/>
      <c r="AD72" s="371">
        <f t="shared" si="5"/>
        <v>0</v>
      </c>
    </row>
    <row r="73" spans="1:30" s="53" customFormat="1" ht="12">
      <c r="A73" s="44"/>
      <c r="B73" s="70"/>
      <c r="C73" s="63" t="s">
        <v>149</v>
      </c>
      <c r="D73" s="229"/>
      <c r="E73" s="236"/>
      <c r="F73" s="252"/>
      <c r="G73" s="252"/>
      <c r="H73" s="252"/>
      <c r="I73" s="252"/>
      <c r="J73" s="252"/>
      <c r="K73" s="252"/>
      <c r="L73" s="252"/>
      <c r="M73" s="252"/>
      <c r="N73" s="252"/>
      <c r="O73" s="252"/>
      <c r="P73" s="252"/>
      <c r="Q73" s="252"/>
      <c r="R73" s="252"/>
      <c r="S73" s="252"/>
      <c r="T73" s="252"/>
      <c r="U73" s="252"/>
      <c r="V73" s="252"/>
      <c r="W73" s="252"/>
      <c r="X73" s="252"/>
      <c r="Y73" s="252"/>
      <c r="Z73" s="252"/>
      <c r="AA73" s="252"/>
      <c r="AB73" s="252"/>
      <c r="AC73" s="286"/>
      <c r="AD73" s="371">
        <f t="shared" si="5"/>
        <v>0</v>
      </c>
    </row>
    <row r="74" spans="1:30" s="53" customFormat="1" ht="12">
      <c r="A74" s="44"/>
      <c r="B74" s="70"/>
      <c r="C74" s="243" t="s">
        <v>488</v>
      </c>
      <c r="D74" s="273">
        <f>'Mode Operating Assumptions'!C33</f>
        <v>8.1905000000000001</v>
      </c>
      <c r="E74" s="236"/>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86"/>
      <c r="AD74" s="371">
        <f t="shared" si="5"/>
        <v>0</v>
      </c>
    </row>
    <row r="75" spans="1:30" s="53" customFormat="1" ht="12">
      <c r="A75" s="44"/>
      <c r="B75" s="70"/>
      <c r="C75" s="244" t="s">
        <v>477</v>
      </c>
      <c r="D75" s="273">
        <f>'Mode Operating Assumptions'!C155</f>
        <v>2.107407271835358</v>
      </c>
      <c r="E75" s="236"/>
      <c r="F75" s="252"/>
      <c r="G75" s="252"/>
      <c r="H75" s="252"/>
      <c r="I75" s="252"/>
      <c r="J75" s="252"/>
      <c r="K75" s="252"/>
      <c r="L75" s="252"/>
      <c r="M75" s="252"/>
      <c r="N75" s="252"/>
      <c r="O75" s="252"/>
      <c r="P75" s="252"/>
      <c r="Q75" s="252"/>
      <c r="R75" s="252"/>
      <c r="S75" s="252"/>
      <c r="T75" s="252"/>
      <c r="U75" s="252"/>
      <c r="V75" s="252"/>
      <c r="W75" s="252"/>
      <c r="X75" s="252"/>
      <c r="Y75" s="252"/>
      <c r="Z75" s="252"/>
      <c r="AA75" s="252"/>
      <c r="AB75" s="252"/>
      <c r="AC75" s="286"/>
      <c r="AD75" s="371">
        <f t="shared" si="5"/>
        <v>0</v>
      </c>
    </row>
    <row r="76" spans="1:30" s="53" customFormat="1" ht="12">
      <c r="A76" s="44"/>
      <c r="B76" s="70"/>
      <c r="C76" s="243" t="s">
        <v>489</v>
      </c>
      <c r="D76" s="273">
        <v>0.05</v>
      </c>
      <c r="E76" s="236"/>
      <c r="F76" s="252"/>
      <c r="G76" s="252"/>
      <c r="H76" s="252"/>
      <c r="I76" s="252"/>
      <c r="J76" s="252"/>
      <c r="K76" s="252"/>
      <c r="L76" s="252"/>
      <c r="M76" s="252"/>
      <c r="N76" s="252"/>
      <c r="O76" s="252"/>
      <c r="P76" s="252"/>
      <c r="Q76" s="252"/>
      <c r="R76" s="252"/>
      <c r="S76" s="252"/>
      <c r="T76" s="252"/>
      <c r="U76" s="252"/>
      <c r="V76" s="252"/>
      <c r="W76" s="252"/>
      <c r="X76" s="252"/>
      <c r="Y76" s="252"/>
      <c r="Z76" s="252"/>
      <c r="AA76" s="252"/>
      <c r="AB76" s="252"/>
      <c r="AC76" s="286"/>
      <c r="AD76" s="371">
        <f t="shared" si="5"/>
        <v>0</v>
      </c>
    </row>
    <row r="77" spans="1:30" s="53" customFormat="1" ht="12">
      <c r="A77" s="44"/>
      <c r="B77" s="70"/>
      <c r="C77" s="78" t="s">
        <v>490</v>
      </c>
      <c r="D77" s="273">
        <f>+D74-D75-D76</f>
        <v>6.0330927281646423</v>
      </c>
      <c r="E77" s="236"/>
      <c r="F77" s="275">
        <f t="shared" ref="F77:AC77" si="7">$D77*F61</f>
        <v>0</v>
      </c>
      <c r="G77" s="275">
        <f t="shared" si="7"/>
        <v>0</v>
      </c>
      <c r="H77" s="275">
        <f t="shared" si="7"/>
        <v>0</v>
      </c>
      <c r="I77" s="275">
        <f t="shared" si="7"/>
        <v>0</v>
      </c>
      <c r="J77" s="275">
        <f t="shared" si="7"/>
        <v>60000.615630686465</v>
      </c>
      <c r="K77" s="275">
        <f t="shared" si="7"/>
        <v>82978.451392614137</v>
      </c>
      <c r="L77" s="275">
        <f t="shared" si="7"/>
        <v>86066.909353447234</v>
      </c>
      <c r="M77" s="275">
        <f t="shared" si="7"/>
        <v>89270.319719582563</v>
      </c>
      <c r="N77" s="275">
        <f t="shared" si="7"/>
        <v>92592.96101954543</v>
      </c>
      <c r="O77" s="275">
        <f t="shared" si="7"/>
        <v>92661.479810699879</v>
      </c>
      <c r="P77" s="275">
        <f t="shared" si="7"/>
        <v>92730.049305759807</v>
      </c>
      <c r="Q77" s="275">
        <f t="shared" si="7"/>
        <v>92798.669542246047</v>
      </c>
      <c r="R77" s="275">
        <f t="shared" si="7"/>
        <v>92867.340557707314</v>
      </c>
      <c r="S77" s="275">
        <f t="shared" si="7"/>
        <v>92936.062389720028</v>
      </c>
      <c r="T77" s="275">
        <f t="shared" si="7"/>
        <v>93004.83507588839</v>
      </c>
      <c r="U77" s="275">
        <f t="shared" si="7"/>
        <v>93073.658653844555</v>
      </c>
      <c r="V77" s="275">
        <f t="shared" si="7"/>
        <v>93142.533161248401</v>
      </c>
      <c r="W77" s="275">
        <f t="shared" si="7"/>
        <v>93211.458635787712</v>
      </c>
      <c r="X77" s="275">
        <f t="shared" si="7"/>
        <v>93280.435115178203</v>
      </c>
      <c r="Y77" s="275">
        <f t="shared" si="7"/>
        <v>93349.462637163408</v>
      </c>
      <c r="Z77" s="275">
        <f t="shared" si="7"/>
        <v>93418.541239514947</v>
      </c>
      <c r="AA77" s="275">
        <f t="shared" si="7"/>
        <v>93487.670960032148</v>
      </c>
      <c r="AB77" s="275">
        <f t="shared" si="7"/>
        <v>93556.851836542584</v>
      </c>
      <c r="AC77" s="288">
        <f t="shared" si="7"/>
        <v>93626.083906901622</v>
      </c>
      <c r="AD77" s="369">
        <f t="shared" si="5"/>
        <v>1808054.3899441108</v>
      </c>
    </row>
    <row r="78" spans="1:30" s="53" customFormat="1" ht="12">
      <c r="A78" s="44"/>
      <c r="B78" s="70"/>
      <c r="C78" s="62" t="s">
        <v>430</v>
      </c>
      <c r="D78" s="229"/>
      <c r="E78" s="236"/>
      <c r="F78" s="309">
        <f>F77</f>
        <v>0</v>
      </c>
      <c r="G78" s="309">
        <f t="shared" ref="G78:AC78" si="8">G77</f>
        <v>0</v>
      </c>
      <c r="H78" s="309">
        <f t="shared" si="8"/>
        <v>0</v>
      </c>
      <c r="I78" s="309">
        <f t="shared" si="8"/>
        <v>0</v>
      </c>
      <c r="J78" s="309">
        <f t="shared" si="8"/>
        <v>60000.615630686465</v>
      </c>
      <c r="K78" s="309">
        <f t="shared" si="8"/>
        <v>82978.451392614137</v>
      </c>
      <c r="L78" s="309">
        <f t="shared" si="8"/>
        <v>86066.909353447234</v>
      </c>
      <c r="M78" s="309">
        <f t="shared" si="8"/>
        <v>89270.319719582563</v>
      </c>
      <c r="N78" s="309">
        <f t="shared" si="8"/>
        <v>92592.96101954543</v>
      </c>
      <c r="O78" s="309">
        <f t="shared" si="8"/>
        <v>92661.479810699879</v>
      </c>
      <c r="P78" s="309">
        <f t="shared" si="8"/>
        <v>92730.049305759807</v>
      </c>
      <c r="Q78" s="309">
        <f t="shared" si="8"/>
        <v>92798.669542246047</v>
      </c>
      <c r="R78" s="309">
        <f t="shared" si="8"/>
        <v>92867.340557707314</v>
      </c>
      <c r="S78" s="309">
        <f t="shared" si="8"/>
        <v>92936.062389720028</v>
      </c>
      <c r="T78" s="309">
        <f t="shared" si="8"/>
        <v>93004.83507588839</v>
      </c>
      <c r="U78" s="309">
        <f t="shared" si="8"/>
        <v>93073.658653844555</v>
      </c>
      <c r="V78" s="309">
        <f t="shared" si="8"/>
        <v>93142.533161248401</v>
      </c>
      <c r="W78" s="309">
        <f t="shared" si="8"/>
        <v>93211.458635787712</v>
      </c>
      <c r="X78" s="309">
        <f t="shared" si="8"/>
        <v>93280.435115178203</v>
      </c>
      <c r="Y78" s="309">
        <f t="shared" si="8"/>
        <v>93349.462637163408</v>
      </c>
      <c r="Z78" s="309">
        <f t="shared" si="8"/>
        <v>93418.541239514947</v>
      </c>
      <c r="AA78" s="309">
        <f t="shared" si="8"/>
        <v>93487.670960032148</v>
      </c>
      <c r="AB78" s="309">
        <f t="shared" si="8"/>
        <v>93556.851836542584</v>
      </c>
      <c r="AC78" s="340">
        <f t="shared" si="8"/>
        <v>93626.083906901622</v>
      </c>
      <c r="AD78" s="370">
        <f t="shared" si="5"/>
        <v>1808054.3899441108</v>
      </c>
    </row>
    <row r="79" spans="1:30" s="53" customFormat="1" ht="12">
      <c r="A79" s="44"/>
      <c r="B79" s="70"/>
      <c r="C79" s="110"/>
      <c r="D79" s="229"/>
      <c r="E79" s="236"/>
      <c r="F79" s="45"/>
      <c r="G79" s="62"/>
      <c r="H79" s="59"/>
      <c r="I79" s="59"/>
      <c r="J79" s="59"/>
      <c r="K79" s="59"/>
      <c r="L79" s="59"/>
      <c r="M79" s="59"/>
      <c r="N79" s="59"/>
      <c r="O79" s="59"/>
      <c r="P79" s="59"/>
      <c r="Q79" s="59"/>
      <c r="R79" s="59"/>
      <c r="S79" s="59"/>
      <c r="T79" s="59"/>
      <c r="U79" s="59"/>
      <c r="V79" s="59"/>
      <c r="W79" s="59"/>
      <c r="X79" s="59"/>
      <c r="Y79" s="59"/>
      <c r="AC79" s="283"/>
      <c r="AD79" s="361">
        <f t="shared" si="5"/>
        <v>0</v>
      </c>
    </row>
    <row r="80" spans="1:30" s="53" customFormat="1" ht="12">
      <c r="A80" s="44"/>
      <c r="B80" s="5" t="s">
        <v>277</v>
      </c>
      <c r="C80" s="55"/>
      <c r="D80" s="229"/>
      <c r="E80" s="236"/>
      <c r="F80" s="45"/>
      <c r="G80" s="59"/>
      <c r="H80" s="59"/>
      <c r="I80" s="59"/>
      <c r="J80" s="59"/>
      <c r="K80" s="59"/>
      <c r="L80" s="59"/>
      <c r="M80" s="59"/>
      <c r="N80" s="59"/>
      <c r="O80" s="59"/>
      <c r="P80" s="59"/>
      <c r="Q80" s="59"/>
      <c r="R80" s="59"/>
      <c r="S80" s="59"/>
      <c r="T80" s="59"/>
      <c r="U80" s="59"/>
      <c r="V80" s="59"/>
      <c r="W80" s="59"/>
      <c r="X80" s="59"/>
      <c r="Y80" s="59"/>
      <c r="AC80" s="283"/>
      <c r="AD80" s="361">
        <f t="shared" si="5"/>
        <v>0</v>
      </c>
    </row>
    <row r="81" spans="1:30" s="53" customFormat="1" ht="12">
      <c r="A81" s="44"/>
      <c r="B81" s="70" t="s">
        <v>463</v>
      </c>
      <c r="C81" s="70" t="s">
        <v>366</v>
      </c>
      <c r="D81" s="229"/>
      <c r="E81" s="236"/>
      <c r="F81" s="45"/>
      <c r="G81" s="59"/>
      <c r="H81" s="59"/>
      <c r="I81" s="59"/>
      <c r="J81" s="59"/>
      <c r="K81" s="59"/>
      <c r="L81" s="59"/>
      <c r="M81" s="59"/>
      <c r="N81" s="59"/>
      <c r="O81" s="59"/>
      <c r="P81" s="59"/>
      <c r="Q81" s="59"/>
      <c r="R81" s="59"/>
      <c r="S81" s="59"/>
      <c r="T81" s="59"/>
      <c r="U81" s="59"/>
      <c r="V81" s="59"/>
      <c r="W81" s="59"/>
      <c r="X81" s="59"/>
      <c r="Y81" s="59"/>
      <c r="AC81" s="283"/>
      <c r="AD81" s="361">
        <f t="shared" si="5"/>
        <v>0</v>
      </c>
    </row>
    <row r="82" spans="1:30" s="53" customFormat="1" ht="12">
      <c r="A82" s="44"/>
      <c r="C82" s="63" t="s">
        <v>131</v>
      </c>
      <c r="D82" s="229"/>
      <c r="E82" s="236"/>
      <c r="F82" s="45"/>
      <c r="G82" s="59"/>
      <c r="H82" s="59"/>
      <c r="I82" s="59"/>
      <c r="J82" s="59"/>
      <c r="K82" s="59"/>
      <c r="L82" s="59"/>
      <c r="M82" s="59"/>
      <c r="N82" s="59"/>
      <c r="O82" s="59"/>
      <c r="P82" s="59"/>
      <c r="Q82" s="59"/>
      <c r="R82" s="59"/>
      <c r="S82" s="59"/>
      <c r="T82" s="59"/>
      <c r="U82" s="59"/>
      <c r="V82" s="59"/>
      <c r="W82" s="59"/>
      <c r="X82" s="59"/>
      <c r="Y82" s="59"/>
      <c r="AC82" s="283"/>
      <c r="AD82" s="361">
        <f t="shared" si="5"/>
        <v>0</v>
      </c>
    </row>
    <row r="83" spans="1:30" s="53" customFormat="1" ht="12">
      <c r="A83" s="44"/>
      <c r="B83" s="70"/>
      <c r="C83" s="245" t="s">
        <v>399</v>
      </c>
      <c r="D83" s="229">
        <v>0</v>
      </c>
      <c r="E83" s="236"/>
      <c r="F83" s="45"/>
      <c r="G83" s="59"/>
      <c r="H83" s="59"/>
      <c r="I83" s="59"/>
      <c r="J83" s="59"/>
      <c r="K83" s="59"/>
      <c r="L83" s="59"/>
      <c r="M83" s="59"/>
      <c r="N83" s="59"/>
      <c r="O83" s="59"/>
      <c r="P83" s="59"/>
      <c r="Q83" s="59"/>
      <c r="R83" s="59"/>
      <c r="S83" s="59"/>
      <c r="T83" s="59"/>
      <c r="U83" s="59"/>
      <c r="V83" s="59"/>
      <c r="W83" s="59"/>
      <c r="X83" s="59"/>
      <c r="Y83" s="59"/>
      <c r="AC83" s="283"/>
      <c r="AD83" s="361">
        <f t="shared" si="5"/>
        <v>0</v>
      </c>
    </row>
    <row r="84" spans="1:30" s="53" customFormat="1" ht="12">
      <c r="A84" s="44"/>
      <c r="B84" s="70"/>
      <c r="C84" s="243" t="s">
        <v>438</v>
      </c>
      <c r="D84" s="242">
        <f>'Price Assumptions'!$B$3</f>
        <v>13.91</v>
      </c>
      <c r="E84" s="236"/>
      <c r="F84" s="45"/>
      <c r="G84" s="59"/>
      <c r="H84" s="59"/>
      <c r="I84" s="59"/>
      <c r="J84" s="59"/>
      <c r="K84" s="59"/>
      <c r="L84" s="59"/>
      <c r="M84" s="59"/>
      <c r="N84" s="59"/>
      <c r="O84" s="59"/>
      <c r="P84" s="59"/>
      <c r="Q84" s="59"/>
      <c r="R84" s="59"/>
      <c r="S84" s="59"/>
      <c r="T84" s="59"/>
      <c r="U84" s="59"/>
      <c r="V84" s="59"/>
      <c r="W84" s="59"/>
      <c r="X84" s="59"/>
      <c r="Y84" s="59"/>
      <c r="AC84" s="283"/>
      <c r="AD84" s="361">
        <f t="shared" si="5"/>
        <v>0</v>
      </c>
    </row>
    <row r="85" spans="1:30" s="53" customFormat="1" ht="12">
      <c r="A85" s="44"/>
      <c r="B85" s="70"/>
      <c r="C85" s="62" t="s">
        <v>429</v>
      </c>
      <c r="D85" s="229"/>
      <c r="E85" s="236"/>
      <c r="F85" s="305">
        <f>$D$83*$D$84*F15</f>
        <v>0</v>
      </c>
      <c r="G85" s="305">
        <f t="shared" ref="G85:AC85" si="9">$D$83*$D$84*G15</f>
        <v>0</v>
      </c>
      <c r="H85" s="305">
        <f t="shared" si="9"/>
        <v>0</v>
      </c>
      <c r="I85" s="305">
        <f t="shared" si="9"/>
        <v>0</v>
      </c>
      <c r="J85" s="305">
        <f t="shared" si="9"/>
        <v>0</v>
      </c>
      <c r="K85" s="305">
        <f t="shared" si="9"/>
        <v>0</v>
      </c>
      <c r="L85" s="305">
        <f t="shared" si="9"/>
        <v>0</v>
      </c>
      <c r="M85" s="305">
        <f t="shared" si="9"/>
        <v>0</v>
      </c>
      <c r="N85" s="305">
        <f t="shared" si="9"/>
        <v>0</v>
      </c>
      <c r="O85" s="305">
        <f t="shared" si="9"/>
        <v>0</v>
      </c>
      <c r="P85" s="305">
        <f t="shared" si="9"/>
        <v>0</v>
      </c>
      <c r="Q85" s="305">
        <f t="shared" si="9"/>
        <v>0</v>
      </c>
      <c r="R85" s="305">
        <f t="shared" si="9"/>
        <v>0</v>
      </c>
      <c r="S85" s="305">
        <f t="shared" si="9"/>
        <v>0</v>
      </c>
      <c r="T85" s="305">
        <f t="shared" si="9"/>
        <v>0</v>
      </c>
      <c r="U85" s="305">
        <f t="shared" si="9"/>
        <v>0</v>
      </c>
      <c r="V85" s="305">
        <f t="shared" si="9"/>
        <v>0</v>
      </c>
      <c r="W85" s="305">
        <f t="shared" si="9"/>
        <v>0</v>
      </c>
      <c r="X85" s="305">
        <f t="shared" si="9"/>
        <v>0</v>
      </c>
      <c r="Y85" s="305">
        <f t="shared" si="9"/>
        <v>0</v>
      </c>
      <c r="Z85" s="305">
        <f t="shared" si="9"/>
        <v>0</v>
      </c>
      <c r="AA85" s="305">
        <f t="shared" si="9"/>
        <v>0</v>
      </c>
      <c r="AB85" s="305">
        <f t="shared" si="9"/>
        <v>0</v>
      </c>
      <c r="AC85" s="306">
        <f t="shared" si="9"/>
        <v>0</v>
      </c>
      <c r="AD85" s="372">
        <f t="shared" si="5"/>
        <v>0</v>
      </c>
    </row>
    <row r="86" spans="1:30" s="53" customFormat="1" ht="12">
      <c r="A86" s="44"/>
      <c r="B86" s="70"/>
      <c r="D86" s="229"/>
      <c r="E86" s="236"/>
      <c r="F86" s="45"/>
      <c r="G86" s="59"/>
      <c r="H86" s="59"/>
      <c r="I86" s="59"/>
      <c r="J86" s="59"/>
      <c r="K86" s="59"/>
      <c r="L86" s="59"/>
      <c r="M86" s="59"/>
      <c r="N86" s="59"/>
      <c r="O86" s="59"/>
      <c r="P86" s="59"/>
      <c r="Q86" s="59"/>
      <c r="R86" s="59"/>
      <c r="S86" s="59"/>
      <c r="T86" s="59"/>
      <c r="U86" s="59"/>
      <c r="V86" s="59"/>
      <c r="W86" s="59"/>
      <c r="X86" s="59"/>
      <c r="Y86" s="59"/>
      <c r="AC86" s="283"/>
      <c r="AD86" s="361">
        <f t="shared" si="5"/>
        <v>0</v>
      </c>
    </row>
    <row r="87" spans="1:30" s="53" customFormat="1" ht="12">
      <c r="A87" s="44"/>
      <c r="B87" s="70"/>
      <c r="D87" s="229"/>
      <c r="E87" s="236"/>
      <c r="F87" s="45"/>
      <c r="G87" s="59"/>
      <c r="H87" s="59"/>
      <c r="I87" s="59"/>
      <c r="J87" s="59"/>
      <c r="K87" s="59"/>
      <c r="L87" s="59"/>
      <c r="M87" s="59"/>
      <c r="N87" s="59"/>
      <c r="O87" s="59"/>
      <c r="P87" s="59"/>
      <c r="Q87" s="59"/>
      <c r="R87" s="59"/>
      <c r="S87" s="59"/>
      <c r="T87" s="59"/>
      <c r="U87" s="59"/>
      <c r="V87" s="59"/>
      <c r="W87" s="59"/>
      <c r="X87" s="59"/>
      <c r="Y87" s="59"/>
      <c r="AC87" s="283"/>
      <c r="AD87" s="361">
        <f t="shared" si="5"/>
        <v>0</v>
      </c>
    </row>
    <row r="88" spans="1:30" s="53" customFormat="1" ht="12">
      <c r="A88" s="44"/>
      <c r="B88" s="270" t="s">
        <v>462</v>
      </c>
      <c r="C88" s="54" t="s">
        <v>426</v>
      </c>
      <c r="D88" s="229"/>
      <c r="E88" s="236"/>
      <c r="F88" s="45">
        <f>F16</f>
        <v>0</v>
      </c>
      <c r="G88" s="45">
        <f t="shared" ref="G88:AC88" si="10">G16</f>
        <v>0</v>
      </c>
      <c r="H88" s="45">
        <f t="shared" si="10"/>
        <v>0</v>
      </c>
      <c r="I88" s="263">
        <f t="shared" si="10"/>
        <v>0</v>
      </c>
      <c r="J88" s="263">
        <f t="shared" si="10"/>
        <v>193.5524797849705</v>
      </c>
      <c r="K88" s="263">
        <f t="shared" si="10"/>
        <v>267.67533744342279</v>
      </c>
      <c r="L88" s="263">
        <f t="shared" si="10"/>
        <v>277.63821350306694</v>
      </c>
      <c r="M88" s="263">
        <f t="shared" si="10"/>
        <v>287.9719078096511</v>
      </c>
      <c r="N88" s="263">
        <f t="shared" si="10"/>
        <v>298.69022221832637</v>
      </c>
      <c r="O88" s="263">
        <f t="shared" si="10"/>
        <v>298.91125298276796</v>
      </c>
      <c r="P88" s="263">
        <f t="shared" si="10"/>
        <v>299.13244730997519</v>
      </c>
      <c r="Q88" s="263">
        <f t="shared" si="10"/>
        <v>299.35380532098452</v>
      </c>
      <c r="R88" s="263">
        <f t="shared" si="10"/>
        <v>299.57532713692206</v>
      </c>
      <c r="S88" s="263">
        <f t="shared" si="10"/>
        <v>299.79701287900338</v>
      </c>
      <c r="T88" s="263">
        <f t="shared" si="10"/>
        <v>300.01886266853387</v>
      </c>
      <c r="U88" s="263">
        <f t="shared" si="10"/>
        <v>300.24087662690857</v>
      </c>
      <c r="V88" s="263">
        <f t="shared" si="10"/>
        <v>300.46305487561244</v>
      </c>
      <c r="W88" s="263">
        <f t="shared" si="10"/>
        <v>300.68539753622036</v>
      </c>
      <c r="X88" s="263">
        <f t="shared" si="10"/>
        <v>300.90790473039715</v>
      </c>
      <c r="Y88" s="263">
        <f t="shared" si="10"/>
        <v>301.13057657989765</v>
      </c>
      <c r="Z88" s="263">
        <f t="shared" si="10"/>
        <v>301.35341320656676</v>
      </c>
      <c r="AA88" s="263">
        <f t="shared" si="10"/>
        <v>301.57641473233963</v>
      </c>
      <c r="AB88" s="263">
        <f t="shared" si="10"/>
        <v>301.79958127924152</v>
      </c>
      <c r="AC88" s="285">
        <f t="shared" si="10"/>
        <v>302.02291296938813</v>
      </c>
      <c r="AD88" s="363">
        <f t="shared" si="5"/>
        <v>5832.4970015941981</v>
      </c>
    </row>
    <row r="89" spans="1:30" s="53" customFormat="1" ht="12">
      <c r="A89" s="44"/>
      <c r="B89" s="70"/>
      <c r="C89" s="63" t="s">
        <v>131</v>
      </c>
      <c r="D89" s="229"/>
      <c r="E89" s="236"/>
      <c r="F89" s="45"/>
      <c r="G89" s="313"/>
      <c r="H89" s="313"/>
      <c r="I89" s="313"/>
      <c r="J89" s="313"/>
      <c r="K89" s="313"/>
      <c r="L89" s="313"/>
      <c r="M89" s="313"/>
      <c r="N89" s="313"/>
      <c r="O89" s="313"/>
      <c r="P89" s="313"/>
      <c r="Q89" s="313"/>
      <c r="R89" s="313"/>
      <c r="S89" s="313"/>
      <c r="T89" s="313"/>
      <c r="U89" s="313"/>
      <c r="V89" s="313"/>
      <c r="W89" s="313"/>
      <c r="X89" s="313"/>
      <c r="Y89" s="313"/>
      <c r="Z89" s="45"/>
      <c r="AA89" s="45"/>
      <c r="AB89" s="45"/>
      <c r="AC89" s="283"/>
      <c r="AD89" s="361">
        <f t="shared" si="5"/>
        <v>0</v>
      </c>
    </row>
    <row r="90" spans="1:30" s="53" customFormat="1" ht="12">
      <c r="A90" s="44"/>
      <c r="B90" s="70"/>
      <c r="C90" s="243" t="s">
        <v>403</v>
      </c>
      <c r="D90" s="229" t="s">
        <v>623</v>
      </c>
      <c r="E90" s="236"/>
      <c r="F90" s="318">
        <f>F63</f>
        <v>0.39100279786137265</v>
      </c>
      <c r="G90" s="318">
        <f t="shared" ref="G90:AC90" si="11">G63</f>
        <v>0.39205714599476826</v>
      </c>
      <c r="H90" s="318">
        <f t="shared" si="11"/>
        <v>0.39311874523828177</v>
      </c>
      <c r="I90" s="318">
        <f t="shared" si="11"/>
        <v>0.39418767065254157</v>
      </c>
      <c r="J90" s="318">
        <f t="shared" si="11"/>
        <v>0.39526399833776032</v>
      </c>
      <c r="K90" s="318">
        <f t="shared" si="11"/>
        <v>0.39634780545179538</v>
      </c>
      <c r="L90" s="318">
        <f t="shared" si="11"/>
        <v>0.39743917022858699</v>
      </c>
      <c r="M90" s="318">
        <f t="shared" si="11"/>
        <v>0.39853817199698321</v>
      </c>
      <c r="N90" s="318">
        <f t="shared" si="11"/>
        <v>0.39964489119996166</v>
      </c>
      <c r="O90" s="318">
        <f t="shared" si="11"/>
        <v>0.40075940941425758</v>
      </c>
      <c r="P90" s="318">
        <f t="shared" si="11"/>
        <v>0.40188180937040846</v>
      </c>
      <c r="Q90" s="318">
        <f t="shared" si="11"/>
        <v>0.40301217497322528</v>
      </c>
      <c r="R90" s="318">
        <f t="shared" si="11"/>
        <v>0.40415059132270104</v>
      </c>
      <c r="S90" s="318">
        <f t="shared" si="11"/>
        <v>0.40529714473536788</v>
      </c>
      <c r="T90" s="318">
        <f t="shared" si="11"/>
        <v>0.40645192276611369</v>
      </c>
      <c r="U90" s="318">
        <f t="shared" si="11"/>
        <v>0.40761501423047014</v>
      </c>
      <c r="V90" s="318">
        <f t="shared" si="11"/>
        <v>0.40878650922738302</v>
      </c>
      <c r="W90" s="318">
        <f t="shared" si="11"/>
        <v>0.40996649916247907</v>
      </c>
      <c r="X90" s="318">
        <f t="shared" si="11"/>
        <v>0.41115507677183999</v>
      </c>
      <c r="Y90" s="318">
        <f t="shared" si="11"/>
        <v>0.41235233614629774</v>
      </c>
      <c r="Z90" s="318">
        <f t="shared" si="11"/>
        <v>0.41355837275626389</v>
      </c>
      <c r="AA90" s="318">
        <f t="shared" si="11"/>
        <v>0.41477328347710757</v>
      </c>
      <c r="AB90" s="318">
        <f t="shared" si="11"/>
        <v>0.415997166615095</v>
      </c>
      <c r="AC90" s="321">
        <f t="shared" si="11"/>
        <v>0.41723012193390652</v>
      </c>
      <c r="AD90" s="368">
        <f t="shared" si="5"/>
        <v>9.6905878298649686</v>
      </c>
    </row>
    <row r="91" spans="1:30" s="53" customFormat="1" ht="12">
      <c r="A91" s="44"/>
      <c r="B91" s="70"/>
      <c r="C91" s="243" t="s">
        <v>420</v>
      </c>
      <c r="D91" s="268">
        <f>D64</f>
        <v>0.38127571701364549</v>
      </c>
      <c r="E91" s="236"/>
      <c r="F91" s="45"/>
      <c r="G91" s="313"/>
      <c r="H91" s="313"/>
      <c r="I91" s="313"/>
      <c r="J91" s="313"/>
      <c r="K91" s="313"/>
      <c r="L91" s="313"/>
      <c r="M91" s="313"/>
      <c r="N91" s="313"/>
      <c r="O91" s="313"/>
      <c r="P91" s="313"/>
      <c r="Q91" s="313"/>
      <c r="R91" s="313"/>
      <c r="S91" s="313"/>
      <c r="T91" s="313"/>
      <c r="U91" s="313"/>
      <c r="V91" s="313"/>
      <c r="W91" s="313"/>
      <c r="X91" s="313"/>
      <c r="Y91" s="313"/>
      <c r="Z91" s="45"/>
      <c r="AA91" s="45"/>
      <c r="AB91" s="45"/>
      <c r="AC91" s="283"/>
      <c r="AD91" s="361">
        <f t="shared" si="5"/>
        <v>0</v>
      </c>
    </row>
    <row r="92" spans="1:30" s="53" customFormat="1" ht="12">
      <c r="A92" s="44"/>
      <c r="B92" s="70"/>
      <c r="C92" s="243" t="s">
        <v>439</v>
      </c>
      <c r="D92" s="229">
        <f>'Mode Operating Assumptions'!C102</f>
        <v>0.17899999999999999</v>
      </c>
      <c r="E92" s="236"/>
      <c r="F92" s="45"/>
      <c r="G92" s="313"/>
      <c r="H92" s="313"/>
      <c r="I92" s="313"/>
      <c r="J92" s="313"/>
      <c r="K92" s="313"/>
      <c r="L92" s="313"/>
      <c r="M92" s="313"/>
      <c r="N92" s="313"/>
      <c r="O92" s="313"/>
      <c r="P92" s="313"/>
      <c r="Q92" s="313"/>
      <c r="R92" s="313"/>
      <c r="S92" s="313"/>
      <c r="T92" s="313"/>
      <c r="U92" s="313"/>
      <c r="V92" s="313"/>
      <c r="W92" s="313"/>
      <c r="X92" s="313"/>
      <c r="Y92" s="313"/>
      <c r="Z92" s="45"/>
      <c r="AA92" s="45"/>
      <c r="AB92" s="45"/>
      <c r="AC92" s="283"/>
      <c r="AD92" s="361">
        <f t="shared" si="5"/>
        <v>0</v>
      </c>
    </row>
    <row r="93" spans="1:30" s="53" customFormat="1" ht="12">
      <c r="A93" s="44"/>
      <c r="B93" s="70"/>
      <c r="C93" s="243" t="s">
        <v>400</v>
      </c>
      <c r="D93" s="229">
        <f>D66</f>
        <v>13.91</v>
      </c>
      <c r="E93" s="236"/>
      <c r="F93" s="45"/>
      <c r="G93" s="313"/>
      <c r="H93" s="313"/>
      <c r="I93" s="313"/>
      <c r="J93" s="313"/>
      <c r="K93" s="313"/>
      <c r="L93" s="313"/>
      <c r="M93" s="313"/>
      <c r="N93" s="313"/>
      <c r="O93" s="313"/>
      <c r="P93" s="313"/>
      <c r="Q93" s="313"/>
      <c r="R93" s="313"/>
      <c r="S93" s="313"/>
      <c r="T93" s="313"/>
      <c r="U93" s="313"/>
      <c r="V93" s="313"/>
      <c r="W93" s="313"/>
      <c r="X93" s="313"/>
      <c r="Y93" s="313"/>
      <c r="Z93" s="45"/>
      <c r="AA93" s="45"/>
      <c r="AB93" s="45"/>
      <c r="AC93" s="283"/>
      <c r="AD93" s="361">
        <f t="shared" si="5"/>
        <v>0</v>
      </c>
    </row>
    <row r="94" spans="1:30" s="53" customFormat="1" ht="12">
      <c r="A94" s="44"/>
      <c r="B94" s="70"/>
      <c r="C94" s="243" t="s">
        <v>401</v>
      </c>
      <c r="D94" s="229">
        <f t="shared" ref="D94" si="12">D67</f>
        <v>13.91</v>
      </c>
      <c r="E94" s="236"/>
      <c r="F94" s="45"/>
      <c r="G94" s="313"/>
      <c r="H94" s="313"/>
      <c r="I94" s="313"/>
      <c r="J94" s="313"/>
      <c r="K94" s="313"/>
      <c r="L94" s="313"/>
      <c r="M94" s="313"/>
      <c r="N94" s="313"/>
      <c r="O94" s="313"/>
      <c r="P94" s="313"/>
      <c r="Q94" s="313"/>
      <c r="R94" s="313"/>
      <c r="S94" s="313"/>
      <c r="T94" s="313"/>
      <c r="U94" s="313"/>
      <c r="V94" s="313"/>
      <c r="W94" s="313"/>
      <c r="X94" s="313"/>
      <c r="Y94" s="313"/>
      <c r="Z94" s="45"/>
      <c r="AA94" s="45"/>
      <c r="AB94" s="45"/>
      <c r="AC94" s="283"/>
      <c r="AD94" s="361">
        <f t="shared" si="5"/>
        <v>0</v>
      </c>
    </row>
    <row r="95" spans="1:30" s="53" customFormat="1" ht="12">
      <c r="A95" s="44"/>
      <c r="B95" s="70"/>
      <c r="C95" s="243" t="s">
        <v>438</v>
      </c>
      <c r="D95" s="229">
        <f>'Mode Operating Assumptions'!C103</f>
        <v>13.91</v>
      </c>
      <c r="E95" s="236"/>
      <c r="F95" s="45"/>
      <c r="G95" s="313"/>
      <c r="H95" s="313"/>
      <c r="I95" s="313"/>
      <c r="J95" s="313"/>
      <c r="K95" s="313"/>
      <c r="L95" s="313"/>
      <c r="M95" s="313"/>
      <c r="N95" s="313"/>
      <c r="O95" s="313"/>
      <c r="P95" s="313"/>
      <c r="Q95" s="313"/>
      <c r="R95" s="313"/>
      <c r="S95" s="313"/>
      <c r="T95" s="313"/>
      <c r="U95" s="313"/>
      <c r="V95" s="313"/>
      <c r="W95" s="313"/>
      <c r="X95" s="313"/>
      <c r="Y95" s="313"/>
      <c r="Z95" s="45"/>
      <c r="AA95" s="45"/>
      <c r="AB95" s="45"/>
      <c r="AC95" s="283"/>
      <c r="AD95" s="361">
        <f t="shared" si="5"/>
        <v>0</v>
      </c>
    </row>
    <row r="96" spans="1:30" s="53" customFormat="1" ht="12">
      <c r="A96" s="44"/>
      <c r="B96" s="70"/>
      <c r="C96" s="78" t="s">
        <v>440</v>
      </c>
      <c r="D96" s="229"/>
      <c r="E96" s="236"/>
      <c r="F96" s="275">
        <f>+(F90*$D$93)-($D$91*$D$94)-($D$92*$D$95)</f>
        <v>-2.3545863054081151</v>
      </c>
      <c r="G96" s="275">
        <f t="shared" ref="G96:AC96" si="13">+(G90*$D$93)-($D$91*$D$94)-($D$92*$D$95)</f>
        <v>-2.3399203228725822</v>
      </c>
      <c r="H96" s="275">
        <f t="shared" si="13"/>
        <v>-2.3251534773953093</v>
      </c>
      <c r="I96" s="275">
        <f t="shared" si="13"/>
        <v>-2.3102847248829557</v>
      </c>
      <c r="J96" s="275">
        <f t="shared" si="13"/>
        <v>-2.2953130067815621</v>
      </c>
      <c r="K96" s="275">
        <f t="shared" si="13"/>
        <v>-2.2802372498253352</v>
      </c>
      <c r="L96" s="275">
        <f t="shared" si="13"/>
        <v>-2.2650563657801639</v>
      </c>
      <c r="M96" s="275">
        <f t="shared" si="13"/>
        <v>-2.249769251181772</v>
      </c>
      <c r="N96" s="275">
        <f t="shared" si="13"/>
        <v>-2.2343747870683419</v>
      </c>
      <c r="O96" s="275">
        <f t="shared" si="13"/>
        <v>-2.2188718387074857</v>
      </c>
      <c r="P96" s="275">
        <f t="shared" si="13"/>
        <v>-2.2032592553174268</v>
      </c>
      <c r="Q96" s="275">
        <f t="shared" si="13"/>
        <v>-2.1875358697822449</v>
      </c>
      <c r="R96" s="275">
        <f t="shared" si="13"/>
        <v>-2.1717004983610373</v>
      </c>
      <c r="S96" s="275">
        <f t="shared" si="13"/>
        <v>-2.1557519403908412</v>
      </c>
      <c r="T96" s="275">
        <f t="shared" si="13"/>
        <v>-2.1396889779831669</v>
      </c>
      <c r="U96" s="275">
        <f t="shared" si="13"/>
        <v>-2.1235103757139688</v>
      </c>
      <c r="V96" s="275">
        <f t="shared" si="13"/>
        <v>-2.1072148803069108</v>
      </c>
      <c r="W96" s="275">
        <f t="shared" si="13"/>
        <v>-2.090801220309725</v>
      </c>
      <c r="X96" s="275">
        <f t="shared" si="13"/>
        <v>-2.0742681057635144</v>
      </c>
      <c r="Y96" s="275">
        <f t="shared" si="13"/>
        <v>-2.0576142278648071</v>
      </c>
      <c r="Z96" s="275">
        <f t="shared" si="13"/>
        <v>-2.0408382586201776</v>
      </c>
      <c r="AA96" s="275">
        <f t="shared" si="13"/>
        <v>-2.0239388504932423</v>
      </c>
      <c r="AB96" s="275">
        <f t="shared" si="13"/>
        <v>-2.0069146360438372</v>
      </c>
      <c r="AC96" s="288">
        <f t="shared" si="13"/>
        <v>-1.9897642275591689</v>
      </c>
      <c r="AD96" s="369">
        <f t="shared" si="5"/>
        <v>-52.2463686544137</v>
      </c>
    </row>
    <row r="97" spans="1:30">
      <c r="D97" s="229"/>
      <c r="E97" s="236"/>
      <c r="F97" s="275">
        <f>F96*F88</f>
        <v>0</v>
      </c>
      <c r="G97" s="275">
        <f t="shared" ref="G97:AC97" si="14">G96*G88</f>
        <v>0</v>
      </c>
      <c r="H97" s="275">
        <f t="shared" si="14"/>
        <v>0</v>
      </c>
      <c r="I97" s="275">
        <f t="shared" si="14"/>
        <v>0</v>
      </c>
      <c r="J97" s="275">
        <f t="shared" si="14"/>
        <v>-444.26352434526814</v>
      </c>
      <c r="K97" s="275">
        <f t="shared" si="14"/>
        <v>-610.36327529805897</v>
      </c>
      <c r="L97" s="275">
        <f t="shared" si="14"/>
        <v>-628.86620287895403</v>
      </c>
      <c r="M97" s="275">
        <f t="shared" si="14"/>
        <v>-647.870343394305</v>
      </c>
      <c r="N97" s="275">
        <f t="shared" si="14"/>
        <v>-667.3859016684687</v>
      </c>
      <c r="O97" s="275">
        <f t="shared" si="14"/>
        <v>-663.24576151623273</v>
      </c>
      <c r="P97" s="275">
        <f t="shared" si="14"/>
        <v>-659.06633310145537</v>
      </c>
      <c r="Q97" s="275">
        <f t="shared" si="14"/>
        <v>-654.84718689546469</v>
      </c>
      <c r="R97" s="275">
        <f t="shared" si="14"/>
        <v>-650.58788723992438</v>
      </c>
      <c r="S97" s="275">
        <f t="shared" si="14"/>
        <v>-646.28799223728947</v>
      </c>
      <c r="T97" s="275">
        <f t="shared" si="14"/>
        <v>-641.94705363890739</v>
      </c>
      <c r="U97" s="275">
        <f t="shared" si="14"/>
        <v>-637.56461673069794</v>
      </c>
      <c r="V97" s="275">
        <f t="shared" si="14"/>
        <v>-633.14022021636242</v>
      </c>
      <c r="W97" s="275">
        <f t="shared" si="14"/>
        <v>-628.67339609804435</v>
      </c>
      <c r="X97" s="275">
        <f t="shared" si="14"/>
        <v>-624.163669554389</v>
      </c>
      <c r="Y97" s="275">
        <f t="shared" si="14"/>
        <v>-619.61055881593029</v>
      </c>
      <c r="Z97" s="275">
        <f t="shared" si="14"/>
        <v>-615.01357503773659</v>
      </c>
      <c r="AA97" s="275">
        <f t="shared" si="14"/>
        <v>-610.37222216924476</v>
      </c>
      <c r="AB97" s="275">
        <f t="shared" si="14"/>
        <v>-605.68599682121146</v>
      </c>
      <c r="AC97" s="288">
        <f t="shared" si="14"/>
        <v>-600.95438812970463</v>
      </c>
      <c r="AD97" s="369">
        <f t="shared" si="5"/>
        <v>-12489.910105787651</v>
      </c>
    </row>
    <row r="98" spans="1:30" s="53" customFormat="1" ht="12">
      <c r="A98" s="44"/>
      <c r="B98" s="70"/>
      <c r="C98" s="62" t="s">
        <v>429</v>
      </c>
      <c r="D98" s="229"/>
      <c r="E98" s="236"/>
      <c r="F98" s="309">
        <f>F97</f>
        <v>0</v>
      </c>
      <c r="G98" s="309">
        <f t="shared" ref="G98:AC98" si="15">G97</f>
        <v>0</v>
      </c>
      <c r="H98" s="309">
        <f t="shared" si="15"/>
        <v>0</v>
      </c>
      <c r="I98" s="309">
        <f t="shared" si="15"/>
        <v>0</v>
      </c>
      <c r="J98" s="309">
        <f t="shared" si="15"/>
        <v>-444.26352434526814</v>
      </c>
      <c r="K98" s="309">
        <f t="shared" si="15"/>
        <v>-610.36327529805897</v>
      </c>
      <c r="L98" s="309">
        <f t="shared" si="15"/>
        <v>-628.86620287895403</v>
      </c>
      <c r="M98" s="309">
        <f t="shared" si="15"/>
        <v>-647.870343394305</v>
      </c>
      <c r="N98" s="309">
        <f t="shared" si="15"/>
        <v>-667.3859016684687</v>
      </c>
      <c r="O98" s="309">
        <f t="shared" si="15"/>
        <v>-663.24576151623273</v>
      </c>
      <c r="P98" s="309">
        <f t="shared" si="15"/>
        <v>-659.06633310145537</v>
      </c>
      <c r="Q98" s="309">
        <f t="shared" si="15"/>
        <v>-654.84718689546469</v>
      </c>
      <c r="R98" s="309">
        <f t="shared" si="15"/>
        <v>-650.58788723992438</v>
      </c>
      <c r="S98" s="309">
        <f t="shared" si="15"/>
        <v>-646.28799223728947</v>
      </c>
      <c r="T98" s="309">
        <f t="shared" si="15"/>
        <v>-641.94705363890739</v>
      </c>
      <c r="U98" s="309">
        <f t="shared" si="15"/>
        <v>-637.56461673069794</v>
      </c>
      <c r="V98" s="309">
        <f t="shared" si="15"/>
        <v>-633.14022021636242</v>
      </c>
      <c r="W98" s="309">
        <f t="shared" si="15"/>
        <v>-628.67339609804435</v>
      </c>
      <c r="X98" s="309">
        <f t="shared" si="15"/>
        <v>-624.163669554389</v>
      </c>
      <c r="Y98" s="309">
        <f t="shared" si="15"/>
        <v>-619.61055881593029</v>
      </c>
      <c r="Z98" s="309">
        <f t="shared" si="15"/>
        <v>-615.01357503773659</v>
      </c>
      <c r="AA98" s="309">
        <f t="shared" si="15"/>
        <v>-610.37222216924476</v>
      </c>
      <c r="AB98" s="309">
        <f t="shared" si="15"/>
        <v>-605.68599682121146</v>
      </c>
      <c r="AC98" s="340">
        <f t="shared" si="15"/>
        <v>-600.95438812970463</v>
      </c>
      <c r="AD98" s="370">
        <f t="shared" si="5"/>
        <v>-12489.910105787651</v>
      </c>
    </row>
    <row r="99" spans="1:30" s="53" customFormat="1" ht="12">
      <c r="A99" s="44"/>
      <c r="B99" s="70"/>
      <c r="C99" s="62"/>
      <c r="D99" s="229"/>
      <c r="E99" s="236"/>
      <c r="F99" s="45"/>
      <c r="G99" s="59"/>
      <c r="H99" s="59"/>
      <c r="I99" s="59"/>
      <c r="J99" s="59"/>
      <c r="K99" s="59"/>
      <c r="L99" s="59"/>
      <c r="M99" s="59"/>
      <c r="N99" s="59"/>
      <c r="O99" s="59"/>
      <c r="P99" s="59"/>
      <c r="Q99" s="59"/>
      <c r="R99" s="59"/>
      <c r="S99" s="59"/>
      <c r="T99" s="59"/>
      <c r="U99" s="59"/>
      <c r="V99" s="59"/>
      <c r="W99" s="59"/>
      <c r="X99" s="59"/>
      <c r="Y99" s="59"/>
      <c r="AC99" s="283"/>
      <c r="AD99" s="361">
        <f t="shared" si="5"/>
        <v>0</v>
      </c>
    </row>
    <row r="100" spans="1:30" s="53" customFormat="1" ht="12">
      <c r="A100" s="44"/>
      <c r="B100" s="70"/>
      <c r="C100" s="63" t="s">
        <v>149</v>
      </c>
      <c r="D100" s="229"/>
      <c r="E100" s="236"/>
      <c r="F100" s="45"/>
      <c r="G100" s="59"/>
      <c r="H100" s="59"/>
      <c r="I100" s="59"/>
      <c r="J100" s="59"/>
      <c r="K100" s="59"/>
      <c r="L100" s="59"/>
      <c r="M100" s="59"/>
      <c r="N100" s="59"/>
      <c r="O100" s="59"/>
      <c r="P100" s="59"/>
      <c r="Q100" s="59"/>
      <c r="R100" s="59"/>
      <c r="S100" s="59"/>
      <c r="T100" s="59"/>
      <c r="U100" s="59"/>
      <c r="V100" s="59"/>
      <c r="W100" s="59"/>
      <c r="X100" s="59"/>
      <c r="Y100" s="59"/>
      <c r="AC100" s="283"/>
      <c r="AD100" s="361">
        <f t="shared" si="5"/>
        <v>0</v>
      </c>
    </row>
    <row r="101" spans="1:30" s="53" customFormat="1" ht="12">
      <c r="A101" s="44"/>
      <c r="B101" s="70"/>
      <c r="C101" s="243" t="s">
        <v>446</v>
      </c>
      <c r="D101" s="273">
        <f>D74</f>
        <v>8.1905000000000001</v>
      </c>
      <c r="E101" s="236"/>
      <c r="F101" s="45"/>
      <c r="G101" s="59"/>
      <c r="H101" s="59"/>
      <c r="I101" s="59"/>
      <c r="J101" s="59"/>
      <c r="K101" s="59"/>
      <c r="L101" s="59"/>
      <c r="M101" s="59"/>
      <c r="N101" s="59"/>
      <c r="O101" s="59"/>
      <c r="P101" s="59"/>
      <c r="Q101" s="59"/>
      <c r="R101" s="59"/>
      <c r="S101" s="59"/>
      <c r="T101" s="59"/>
      <c r="U101" s="59"/>
      <c r="V101" s="59"/>
      <c r="W101" s="59"/>
      <c r="X101" s="59"/>
      <c r="Y101" s="59"/>
      <c r="AC101" s="283"/>
      <c r="AD101" s="361">
        <f t="shared" si="5"/>
        <v>0</v>
      </c>
    </row>
    <row r="102" spans="1:30" s="53" customFormat="1" ht="12">
      <c r="A102" s="44"/>
      <c r="B102" s="70"/>
      <c r="C102" s="244" t="s">
        <v>402</v>
      </c>
      <c r="D102" s="273">
        <f t="shared" ref="D102" si="16">D75</f>
        <v>2.107407271835358</v>
      </c>
      <c r="E102" s="236"/>
      <c r="F102" s="45"/>
      <c r="G102" s="59"/>
      <c r="H102" s="59"/>
      <c r="I102" s="59"/>
      <c r="J102" s="59"/>
      <c r="K102" s="59"/>
      <c r="L102" s="59"/>
      <c r="M102" s="59"/>
      <c r="N102" s="59"/>
      <c r="O102" s="59"/>
      <c r="P102" s="59"/>
      <c r="Q102" s="59"/>
      <c r="R102" s="59"/>
      <c r="S102" s="59"/>
      <c r="T102" s="59"/>
      <c r="U102" s="59"/>
      <c r="V102" s="59"/>
      <c r="W102" s="59"/>
      <c r="X102" s="59"/>
      <c r="Y102" s="59"/>
      <c r="AC102" s="283"/>
      <c r="AD102" s="361">
        <f t="shared" si="5"/>
        <v>0</v>
      </c>
    </row>
    <row r="103" spans="1:30" s="53" customFormat="1" ht="12">
      <c r="A103" s="44"/>
      <c r="B103" s="70"/>
      <c r="C103" s="244" t="s">
        <v>414</v>
      </c>
      <c r="D103" s="273">
        <v>0.1</v>
      </c>
      <c r="E103" s="236"/>
      <c r="F103" s="45"/>
      <c r="G103" s="59"/>
      <c r="H103" s="59"/>
      <c r="I103" s="59"/>
      <c r="J103" s="59"/>
      <c r="K103" s="59"/>
      <c r="L103" s="59"/>
      <c r="M103" s="59"/>
      <c r="N103" s="59"/>
      <c r="O103" s="59"/>
      <c r="P103" s="59"/>
      <c r="Q103" s="59"/>
      <c r="R103" s="59"/>
      <c r="S103" s="59"/>
      <c r="T103" s="59"/>
      <c r="U103" s="59"/>
      <c r="V103" s="59"/>
      <c r="W103" s="59"/>
      <c r="X103" s="59"/>
      <c r="Y103" s="59"/>
      <c r="AC103" s="283"/>
      <c r="AD103" s="361">
        <f t="shared" si="5"/>
        <v>0</v>
      </c>
    </row>
    <row r="104" spans="1:30" s="53" customFormat="1" ht="12">
      <c r="A104" s="44"/>
      <c r="B104" s="70"/>
      <c r="C104" s="78" t="s">
        <v>441</v>
      </c>
      <c r="D104" s="273">
        <f>+D101-D102-D103</f>
        <v>5.9830927281646424</v>
      </c>
      <c r="E104" s="236"/>
      <c r="F104" s="252">
        <f t="shared" ref="F104:AC104" si="17">$D104*F88</f>
        <v>0</v>
      </c>
      <c r="G104" s="252">
        <f t="shared" si="17"/>
        <v>0</v>
      </c>
      <c r="H104" s="252">
        <f t="shared" si="17"/>
        <v>0</v>
      </c>
      <c r="I104" s="252">
        <f t="shared" si="17"/>
        <v>0</v>
      </c>
      <c r="J104" s="252">
        <f t="shared" si="17"/>
        <v>1158.042434319691</v>
      </c>
      <c r="K104" s="252">
        <f t="shared" si="17"/>
        <v>1601.5263649667597</v>
      </c>
      <c r="L104" s="252">
        <f t="shared" si="17"/>
        <v>1661.1351762708223</v>
      </c>
      <c r="M104" s="252">
        <f t="shared" si="17"/>
        <v>1722.9626275316223</v>
      </c>
      <c r="N104" s="252">
        <f t="shared" si="17"/>
        <v>1787.0912965283496</v>
      </c>
      <c r="O104" s="252">
        <f t="shared" si="17"/>
        <v>1788.4137440877807</v>
      </c>
      <c r="P104" s="252">
        <f t="shared" si="17"/>
        <v>1789.7371702584055</v>
      </c>
      <c r="Q104" s="252">
        <f t="shared" si="17"/>
        <v>1791.0615757643966</v>
      </c>
      <c r="R104" s="252">
        <f t="shared" si="17"/>
        <v>1792.3869613304623</v>
      </c>
      <c r="S104" s="252">
        <f t="shared" si="17"/>
        <v>1793.7133276818467</v>
      </c>
      <c r="T104" s="252">
        <f t="shared" si="17"/>
        <v>1795.0406755443314</v>
      </c>
      <c r="U104" s="252">
        <f t="shared" si="17"/>
        <v>1796.3690056442342</v>
      </c>
      <c r="V104" s="252">
        <f t="shared" si="17"/>
        <v>1797.6983187084106</v>
      </c>
      <c r="W104" s="252">
        <f t="shared" si="17"/>
        <v>1799.0286154642547</v>
      </c>
      <c r="X104" s="252">
        <f t="shared" si="17"/>
        <v>1800.3598966396983</v>
      </c>
      <c r="Y104" s="252">
        <f t="shared" si="17"/>
        <v>1801.6921629632116</v>
      </c>
      <c r="Z104" s="252">
        <f t="shared" si="17"/>
        <v>1803.0254151638044</v>
      </c>
      <c r="AA104" s="252">
        <f t="shared" si="17"/>
        <v>1804.3596539710256</v>
      </c>
      <c r="AB104" s="252">
        <f t="shared" si="17"/>
        <v>1805.694880114964</v>
      </c>
      <c r="AC104" s="286">
        <f t="shared" si="17"/>
        <v>1807.0310943262489</v>
      </c>
      <c r="AD104" s="371">
        <f t="shared" si="5"/>
        <v>34896.370397280327</v>
      </c>
    </row>
    <row r="105" spans="1:30" s="53" customFormat="1" ht="12">
      <c r="A105" s="44"/>
      <c r="C105" s="62" t="s">
        <v>430</v>
      </c>
      <c r="D105" s="229"/>
      <c r="E105" s="236"/>
      <c r="F105" s="305">
        <f>F104</f>
        <v>0</v>
      </c>
      <c r="G105" s="305">
        <f t="shared" ref="G105:AC105" si="18">G104</f>
        <v>0</v>
      </c>
      <c r="H105" s="305">
        <f t="shared" si="18"/>
        <v>0</v>
      </c>
      <c r="I105" s="305">
        <f t="shared" si="18"/>
        <v>0</v>
      </c>
      <c r="J105" s="305">
        <f t="shared" si="18"/>
        <v>1158.042434319691</v>
      </c>
      <c r="K105" s="305">
        <f t="shared" si="18"/>
        <v>1601.5263649667597</v>
      </c>
      <c r="L105" s="305">
        <f t="shared" si="18"/>
        <v>1661.1351762708223</v>
      </c>
      <c r="M105" s="305">
        <f t="shared" si="18"/>
        <v>1722.9626275316223</v>
      </c>
      <c r="N105" s="305">
        <f t="shared" si="18"/>
        <v>1787.0912965283496</v>
      </c>
      <c r="O105" s="305">
        <f t="shared" si="18"/>
        <v>1788.4137440877807</v>
      </c>
      <c r="P105" s="305">
        <f t="shared" si="18"/>
        <v>1789.7371702584055</v>
      </c>
      <c r="Q105" s="305">
        <f t="shared" si="18"/>
        <v>1791.0615757643966</v>
      </c>
      <c r="R105" s="305">
        <f t="shared" si="18"/>
        <v>1792.3869613304623</v>
      </c>
      <c r="S105" s="305">
        <f t="shared" si="18"/>
        <v>1793.7133276818467</v>
      </c>
      <c r="T105" s="305">
        <f t="shared" si="18"/>
        <v>1795.0406755443314</v>
      </c>
      <c r="U105" s="305">
        <f t="shared" si="18"/>
        <v>1796.3690056442342</v>
      </c>
      <c r="V105" s="305">
        <f t="shared" si="18"/>
        <v>1797.6983187084106</v>
      </c>
      <c r="W105" s="305">
        <f t="shared" si="18"/>
        <v>1799.0286154642547</v>
      </c>
      <c r="X105" s="305">
        <f t="shared" si="18"/>
        <v>1800.3598966396983</v>
      </c>
      <c r="Y105" s="305">
        <f t="shared" si="18"/>
        <v>1801.6921629632116</v>
      </c>
      <c r="Z105" s="305">
        <f t="shared" si="18"/>
        <v>1803.0254151638044</v>
      </c>
      <c r="AA105" s="305">
        <f t="shared" si="18"/>
        <v>1804.3596539710256</v>
      </c>
      <c r="AB105" s="305">
        <f t="shared" si="18"/>
        <v>1805.694880114964</v>
      </c>
      <c r="AC105" s="306">
        <f t="shared" si="18"/>
        <v>1807.0310943262489</v>
      </c>
      <c r="AD105" s="372">
        <f t="shared" si="5"/>
        <v>34896.370397280327</v>
      </c>
    </row>
    <row r="106" spans="1:30" s="53" customFormat="1" ht="12">
      <c r="A106" s="44"/>
      <c r="B106" s="70"/>
      <c r="D106" s="229"/>
      <c r="E106" s="236"/>
      <c r="F106" s="45"/>
      <c r="G106" s="59"/>
      <c r="H106" s="59"/>
      <c r="I106" s="59"/>
      <c r="J106" s="59"/>
      <c r="K106" s="59"/>
      <c r="L106" s="59"/>
      <c r="M106" s="59"/>
      <c r="N106" s="59"/>
      <c r="O106" s="59"/>
      <c r="P106" s="59"/>
      <c r="Q106" s="59"/>
      <c r="R106" s="59"/>
      <c r="S106" s="59"/>
      <c r="T106" s="59"/>
      <c r="U106" s="59"/>
      <c r="V106" s="59"/>
      <c r="W106" s="59"/>
      <c r="X106" s="59"/>
      <c r="Y106" s="59"/>
      <c r="AC106" s="283"/>
      <c r="AD106" s="361">
        <f t="shared" si="5"/>
        <v>0</v>
      </c>
    </row>
    <row r="107" spans="1:30" s="53" customFormat="1" ht="12">
      <c r="A107" s="44"/>
      <c r="B107" s="5" t="s">
        <v>413</v>
      </c>
      <c r="D107" s="229"/>
      <c r="E107" s="236"/>
      <c r="F107" s="59"/>
      <c r="G107" s="59"/>
      <c r="H107" s="59"/>
      <c r="I107" s="59"/>
      <c r="J107" s="59"/>
      <c r="K107" s="59"/>
      <c r="L107" s="59"/>
      <c r="M107" s="59"/>
      <c r="N107" s="59"/>
      <c r="O107" s="59"/>
      <c r="P107" s="59"/>
      <c r="Q107" s="59"/>
      <c r="R107" s="59"/>
      <c r="S107" s="59"/>
      <c r="T107" s="59"/>
      <c r="U107" s="59"/>
      <c r="V107" s="59"/>
      <c r="W107" s="59"/>
      <c r="X107" s="59"/>
      <c r="Y107" s="59"/>
      <c r="AC107" s="283"/>
      <c r="AD107" s="361">
        <f t="shared" si="5"/>
        <v>0</v>
      </c>
    </row>
    <row r="108" spans="1:30" s="53" customFormat="1" ht="12">
      <c r="A108" s="44"/>
      <c r="B108" s="70" t="s">
        <v>463</v>
      </c>
      <c r="C108" s="47" t="s">
        <v>95</v>
      </c>
      <c r="D108" s="229"/>
      <c r="E108" s="236"/>
      <c r="F108" s="59">
        <f>F20</f>
        <v>0</v>
      </c>
      <c r="G108" s="59">
        <f t="shared" ref="G108:AC108" si="19">G20</f>
        <v>0</v>
      </c>
      <c r="H108" s="59">
        <f t="shared" si="19"/>
        <v>0</v>
      </c>
      <c r="I108" s="59">
        <f t="shared" si="19"/>
        <v>0</v>
      </c>
      <c r="J108" s="59">
        <f t="shared" si="19"/>
        <v>6750</v>
      </c>
      <c r="K108" s="59">
        <f t="shared" si="19"/>
        <v>9216.25</v>
      </c>
      <c r="L108" s="59">
        <f t="shared" si="19"/>
        <v>9308.4125000000004</v>
      </c>
      <c r="M108" s="59">
        <f t="shared" si="19"/>
        <v>9401.4966250000016</v>
      </c>
      <c r="N108" s="59">
        <f t="shared" si="19"/>
        <v>9495.5115912500005</v>
      </c>
      <c r="O108" s="59">
        <f t="shared" si="19"/>
        <v>9590.466707162499</v>
      </c>
      <c r="P108" s="59">
        <f t="shared" si="19"/>
        <v>9686.3713742341261</v>
      </c>
      <c r="Q108" s="59">
        <f t="shared" si="19"/>
        <v>9783.235087976469</v>
      </c>
      <c r="R108" s="59">
        <f t="shared" si="19"/>
        <v>9881.0674388562329</v>
      </c>
      <c r="S108" s="59">
        <f t="shared" si="19"/>
        <v>9979.8781132447948</v>
      </c>
      <c r="T108" s="59">
        <f t="shared" si="19"/>
        <v>10079.676894377242</v>
      </c>
      <c r="U108" s="59">
        <f t="shared" si="19"/>
        <v>10180.473663321014</v>
      </c>
      <c r="V108" s="59">
        <f t="shared" si="19"/>
        <v>10282.278399954226</v>
      </c>
      <c r="W108" s="59">
        <f t="shared" si="19"/>
        <v>10385.101183953768</v>
      </c>
      <c r="X108" s="59">
        <f t="shared" si="19"/>
        <v>10488.952195793305</v>
      </c>
      <c r="Y108" s="59">
        <f t="shared" si="19"/>
        <v>10593.841717751238</v>
      </c>
      <c r="Z108" s="59">
        <f t="shared" si="19"/>
        <v>10699.780134928751</v>
      </c>
      <c r="AA108" s="59">
        <f t="shared" si="19"/>
        <v>10806.777936278038</v>
      </c>
      <c r="AB108" s="59">
        <f t="shared" si="19"/>
        <v>10914.845715640819</v>
      </c>
      <c r="AC108" s="284">
        <f t="shared" si="19"/>
        <v>11023.994172797227</v>
      </c>
      <c r="AD108" s="362">
        <f t="shared" si="5"/>
        <v>198548.41145251971</v>
      </c>
    </row>
    <row r="109" spans="1:30" s="53" customFormat="1" ht="12">
      <c r="A109" s="44"/>
      <c r="B109" s="70"/>
      <c r="C109" s="47" t="s">
        <v>96</v>
      </c>
      <c r="D109" s="229"/>
      <c r="E109" s="236"/>
      <c r="F109" s="59">
        <f t="shared" ref="F109:AC109" si="20">F21</f>
        <v>0</v>
      </c>
      <c r="G109" s="59">
        <f t="shared" si="20"/>
        <v>0</v>
      </c>
      <c r="H109" s="59">
        <f t="shared" si="20"/>
        <v>0</v>
      </c>
      <c r="I109" s="59">
        <f t="shared" si="20"/>
        <v>0</v>
      </c>
      <c r="J109" s="59">
        <f t="shared" si="20"/>
        <v>3375</v>
      </c>
      <c r="K109" s="59">
        <f t="shared" si="20"/>
        <v>4608.125</v>
      </c>
      <c r="L109" s="59">
        <f t="shared" si="20"/>
        <v>4654.2062500000002</v>
      </c>
      <c r="M109" s="59">
        <f t="shared" si="20"/>
        <v>4700.7483125000008</v>
      </c>
      <c r="N109" s="59">
        <f t="shared" si="20"/>
        <v>4747.7557956250002</v>
      </c>
      <c r="O109" s="59">
        <f t="shared" si="20"/>
        <v>4795.2333535812495</v>
      </c>
      <c r="P109" s="59">
        <f t="shared" si="20"/>
        <v>4843.185687117063</v>
      </c>
      <c r="Q109" s="59">
        <f t="shared" si="20"/>
        <v>4891.6175439882345</v>
      </c>
      <c r="R109" s="59">
        <f t="shared" si="20"/>
        <v>4940.5337194281165</v>
      </c>
      <c r="S109" s="59">
        <f t="shared" si="20"/>
        <v>4989.9390566223974</v>
      </c>
      <c r="T109" s="59">
        <f t="shared" si="20"/>
        <v>5039.8384471886211</v>
      </c>
      <c r="U109" s="59">
        <f t="shared" si="20"/>
        <v>5090.2368316605071</v>
      </c>
      <c r="V109" s="59">
        <f t="shared" si="20"/>
        <v>5141.1391999771131</v>
      </c>
      <c r="W109" s="59">
        <f t="shared" si="20"/>
        <v>5192.5505919768839</v>
      </c>
      <c r="X109" s="59">
        <f t="shared" si="20"/>
        <v>5244.4760978966524</v>
      </c>
      <c r="Y109" s="59">
        <f t="shared" si="20"/>
        <v>5296.9208588756192</v>
      </c>
      <c r="Z109" s="59">
        <f t="shared" si="20"/>
        <v>5349.8900674643755</v>
      </c>
      <c r="AA109" s="59">
        <f t="shared" si="20"/>
        <v>5403.3889681390192</v>
      </c>
      <c r="AB109" s="59">
        <f t="shared" si="20"/>
        <v>5457.4228578204093</v>
      </c>
      <c r="AC109" s="284">
        <f t="shared" si="20"/>
        <v>5511.9970863986136</v>
      </c>
      <c r="AD109" s="362">
        <f t="shared" si="5"/>
        <v>99274.205726259854</v>
      </c>
    </row>
    <row r="110" spans="1:30" s="53" customFormat="1" ht="12">
      <c r="A110" s="44"/>
      <c r="B110" s="70"/>
      <c r="C110" s="47" t="s">
        <v>148</v>
      </c>
      <c r="D110" s="229"/>
      <c r="E110" s="236"/>
      <c r="F110" s="59">
        <f t="shared" ref="F110:AC110" si="21">F22</f>
        <v>0</v>
      </c>
      <c r="G110" s="59">
        <f t="shared" si="21"/>
        <v>0</v>
      </c>
      <c r="H110" s="59">
        <f t="shared" si="21"/>
        <v>0</v>
      </c>
      <c r="I110" s="59">
        <f t="shared" si="21"/>
        <v>0</v>
      </c>
      <c r="J110" s="59">
        <f t="shared" si="21"/>
        <v>3375</v>
      </c>
      <c r="K110" s="59">
        <f t="shared" si="21"/>
        <v>4608.125</v>
      </c>
      <c r="L110" s="59">
        <f t="shared" si="21"/>
        <v>4654.2062500000002</v>
      </c>
      <c r="M110" s="59">
        <f t="shared" si="21"/>
        <v>4700.7483125000008</v>
      </c>
      <c r="N110" s="59">
        <f t="shared" si="21"/>
        <v>4747.7557956250002</v>
      </c>
      <c r="O110" s="59">
        <f t="shared" si="21"/>
        <v>4795.2333535812495</v>
      </c>
      <c r="P110" s="59">
        <f t="shared" si="21"/>
        <v>4843.185687117063</v>
      </c>
      <c r="Q110" s="59">
        <f t="shared" si="21"/>
        <v>4891.6175439882345</v>
      </c>
      <c r="R110" s="59">
        <f t="shared" si="21"/>
        <v>4940.5337194281165</v>
      </c>
      <c r="S110" s="59">
        <f t="shared" si="21"/>
        <v>4989.9390566223974</v>
      </c>
      <c r="T110" s="59">
        <f t="shared" si="21"/>
        <v>5039.8384471886211</v>
      </c>
      <c r="U110" s="59">
        <f t="shared" si="21"/>
        <v>5090.2368316605071</v>
      </c>
      <c r="V110" s="59">
        <f t="shared" si="21"/>
        <v>5141.1391999771131</v>
      </c>
      <c r="W110" s="59">
        <f t="shared" si="21"/>
        <v>5192.5505919768839</v>
      </c>
      <c r="X110" s="59">
        <f t="shared" si="21"/>
        <v>5244.4760978966524</v>
      </c>
      <c r="Y110" s="59">
        <f t="shared" si="21"/>
        <v>5296.9208588756192</v>
      </c>
      <c r="Z110" s="59">
        <f t="shared" si="21"/>
        <v>5349.8900674643755</v>
      </c>
      <c r="AA110" s="59">
        <f t="shared" si="21"/>
        <v>5403.3889681390192</v>
      </c>
      <c r="AB110" s="59">
        <f t="shared" si="21"/>
        <v>5457.4228578204093</v>
      </c>
      <c r="AC110" s="284">
        <f t="shared" si="21"/>
        <v>5511.9970863986136</v>
      </c>
      <c r="AD110" s="362">
        <f t="shared" si="5"/>
        <v>99274.205726259854</v>
      </c>
    </row>
    <row r="111" spans="1:30" s="53" customFormat="1" ht="12">
      <c r="A111" s="44"/>
      <c r="B111" s="70"/>
      <c r="C111" s="78" t="s">
        <v>437</v>
      </c>
      <c r="D111" s="229"/>
      <c r="E111" s="236"/>
      <c r="F111" s="59">
        <f t="shared" ref="F111:AC111" si="22">F23</f>
        <v>0</v>
      </c>
      <c r="G111" s="59">
        <f t="shared" si="22"/>
        <v>0</v>
      </c>
      <c r="H111" s="59">
        <f t="shared" si="22"/>
        <v>0</v>
      </c>
      <c r="I111" s="59">
        <f t="shared" si="22"/>
        <v>0</v>
      </c>
      <c r="J111" s="59">
        <f t="shared" si="22"/>
        <v>10125</v>
      </c>
      <c r="K111" s="59">
        <f t="shared" si="22"/>
        <v>13824.375</v>
      </c>
      <c r="L111" s="59">
        <f t="shared" si="22"/>
        <v>13962.61875</v>
      </c>
      <c r="M111" s="59">
        <f t="shared" si="22"/>
        <v>14102.244937500001</v>
      </c>
      <c r="N111" s="59">
        <f t="shared" si="22"/>
        <v>14243.267386874999</v>
      </c>
      <c r="O111" s="59">
        <f t="shared" si="22"/>
        <v>14385.700060743749</v>
      </c>
      <c r="P111" s="59">
        <f t="shared" si="22"/>
        <v>14529.55706135119</v>
      </c>
      <c r="Q111" s="59">
        <f t="shared" si="22"/>
        <v>14674.852631964701</v>
      </c>
      <c r="R111" s="59">
        <f t="shared" si="22"/>
        <v>14821.601158284346</v>
      </c>
      <c r="S111" s="59">
        <f t="shared" si="22"/>
        <v>14969.81716986719</v>
      </c>
      <c r="T111" s="59">
        <f t="shared" si="22"/>
        <v>15119.515341565862</v>
      </c>
      <c r="U111" s="59">
        <f t="shared" si="22"/>
        <v>15270.71049498152</v>
      </c>
      <c r="V111" s="59">
        <f t="shared" si="22"/>
        <v>15423.417599931337</v>
      </c>
      <c r="W111" s="59">
        <f t="shared" si="22"/>
        <v>15577.651775930648</v>
      </c>
      <c r="X111" s="59">
        <f t="shared" si="22"/>
        <v>15733.428293689956</v>
      </c>
      <c r="Y111" s="59">
        <f t="shared" si="22"/>
        <v>15890.762576626857</v>
      </c>
      <c r="Z111" s="59">
        <f t="shared" si="22"/>
        <v>16049.670202393125</v>
      </c>
      <c r="AA111" s="59">
        <f t="shared" si="22"/>
        <v>16210.166904417056</v>
      </c>
      <c r="AB111" s="59">
        <f t="shared" si="22"/>
        <v>16372.268573461224</v>
      </c>
      <c r="AC111" s="284">
        <f t="shared" si="22"/>
        <v>16535.991259195838</v>
      </c>
      <c r="AD111" s="362">
        <f t="shared" si="5"/>
        <v>297822.61717877962</v>
      </c>
    </row>
    <row r="112" spans="1:30" s="53" customFormat="1" ht="12">
      <c r="A112" s="44"/>
      <c r="B112" s="70" t="s">
        <v>462</v>
      </c>
      <c r="C112" s="78" t="s">
        <v>442</v>
      </c>
      <c r="D112" s="229"/>
      <c r="E112" s="236"/>
      <c r="F112" s="59">
        <f t="shared" ref="F112:AC112" si="23">F25</f>
        <v>0</v>
      </c>
      <c r="G112" s="59">
        <f t="shared" si="23"/>
        <v>0</v>
      </c>
      <c r="H112" s="59">
        <f t="shared" si="23"/>
        <v>0</v>
      </c>
      <c r="I112" s="59">
        <f t="shared" si="23"/>
        <v>0</v>
      </c>
      <c r="J112" s="59">
        <f t="shared" si="23"/>
        <v>16875</v>
      </c>
      <c r="K112" s="59">
        <f t="shared" si="23"/>
        <v>23040.625</v>
      </c>
      <c r="L112" s="59">
        <f t="shared" si="23"/>
        <v>23271.03125</v>
      </c>
      <c r="M112" s="59">
        <f t="shared" si="23"/>
        <v>23503.741562500003</v>
      </c>
      <c r="N112" s="59">
        <f t="shared" si="23"/>
        <v>23738.778978124999</v>
      </c>
      <c r="O112" s="59">
        <f t="shared" si="23"/>
        <v>23976.166767906248</v>
      </c>
      <c r="P112" s="59">
        <f t="shared" si="23"/>
        <v>24215.928435585316</v>
      </c>
      <c r="Q112" s="59">
        <f t="shared" si="23"/>
        <v>24458.08771994117</v>
      </c>
      <c r="R112" s="59">
        <f t="shared" si="23"/>
        <v>24702.668597140579</v>
      </c>
      <c r="S112" s="59">
        <f t="shared" si="23"/>
        <v>24949.695283111985</v>
      </c>
      <c r="T112" s="59">
        <f t="shared" si="23"/>
        <v>25199.192235943105</v>
      </c>
      <c r="U112" s="59">
        <f t="shared" si="23"/>
        <v>25451.184158302534</v>
      </c>
      <c r="V112" s="59">
        <f t="shared" si="23"/>
        <v>25705.695999885564</v>
      </c>
      <c r="W112" s="59">
        <f t="shared" si="23"/>
        <v>25962.752959884416</v>
      </c>
      <c r="X112" s="59">
        <f t="shared" si="23"/>
        <v>26222.380489483261</v>
      </c>
      <c r="Y112" s="59">
        <f t="shared" si="23"/>
        <v>26484.604294378096</v>
      </c>
      <c r="Z112" s="59">
        <f t="shared" si="23"/>
        <v>26749.450337321876</v>
      </c>
      <c r="AA112" s="59">
        <f t="shared" si="23"/>
        <v>27016.944840695094</v>
      </c>
      <c r="AB112" s="59">
        <f t="shared" si="23"/>
        <v>27287.114289102043</v>
      </c>
      <c r="AC112" s="284">
        <f t="shared" si="23"/>
        <v>27559.985431993067</v>
      </c>
      <c r="AD112" s="362">
        <f t="shared" si="5"/>
        <v>496371.02863129927</v>
      </c>
    </row>
    <row r="113" spans="1:30" s="53" customFormat="1" ht="12">
      <c r="A113" s="44"/>
      <c r="B113" s="70"/>
      <c r="C113" s="78"/>
      <c r="D113" s="229"/>
      <c r="E113" s="236"/>
      <c r="F113" s="59"/>
      <c r="G113" s="59"/>
      <c r="H113" s="59"/>
      <c r="I113" s="59"/>
      <c r="J113" s="59"/>
      <c r="K113" s="59"/>
      <c r="L113" s="59"/>
      <c r="M113" s="59"/>
      <c r="N113" s="59"/>
      <c r="O113" s="59"/>
      <c r="P113" s="59"/>
      <c r="Q113" s="59"/>
      <c r="R113" s="59"/>
      <c r="S113" s="59"/>
      <c r="T113" s="59"/>
      <c r="U113" s="59"/>
      <c r="V113" s="59"/>
      <c r="W113" s="59"/>
      <c r="X113" s="59"/>
      <c r="Y113" s="59"/>
      <c r="AC113" s="283"/>
      <c r="AD113" s="361">
        <f t="shared" si="5"/>
        <v>0</v>
      </c>
    </row>
    <row r="114" spans="1:30" s="53" customFormat="1" ht="12">
      <c r="A114" s="44"/>
      <c r="B114" s="70" t="s">
        <v>415</v>
      </c>
      <c r="C114" s="63" t="s">
        <v>131</v>
      </c>
      <c r="D114" s="229"/>
      <c r="E114" s="236"/>
      <c r="F114" s="313"/>
      <c r="G114" s="313"/>
      <c r="H114" s="313"/>
      <c r="I114" s="313"/>
      <c r="J114" s="313"/>
      <c r="K114" s="313"/>
      <c r="L114" s="313"/>
      <c r="M114" s="313"/>
      <c r="N114" s="313"/>
      <c r="O114" s="313"/>
      <c r="P114" s="313"/>
      <c r="Q114" s="313"/>
      <c r="R114" s="313"/>
      <c r="S114" s="313"/>
      <c r="T114" s="313"/>
      <c r="U114" s="313"/>
      <c r="V114" s="313"/>
      <c r="W114" s="313"/>
      <c r="X114" s="313"/>
      <c r="Y114" s="313"/>
      <c r="Z114" s="45"/>
      <c r="AA114" s="45"/>
      <c r="AB114" s="45"/>
      <c r="AC114" s="283"/>
      <c r="AD114" s="361">
        <f t="shared" si="5"/>
        <v>0</v>
      </c>
    </row>
    <row r="115" spans="1:30" s="53" customFormat="1" ht="12">
      <c r="A115" s="44"/>
      <c r="B115" s="70" t="s">
        <v>463</v>
      </c>
      <c r="C115" s="243" t="s">
        <v>470</v>
      </c>
      <c r="D115" s="229" t="s">
        <v>623</v>
      </c>
      <c r="E115" s="236"/>
      <c r="F115" s="320">
        <f>'Mode Operating Assumptions'!D20</f>
        <v>0.16806077048797802</v>
      </c>
      <c r="G115" s="320">
        <f>'Mode Operating Assumptions'!E20</f>
        <v>0.16835112174317465</v>
      </c>
      <c r="H115" s="320">
        <f>'Mode Operating Assumptions'!F20</f>
        <v>0.16864346984254222</v>
      </c>
      <c r="I115" s="320">
        <f>'Mode Operating Assumptions'!G20</f>
        <v>0.168937835456623</v>
      </c>
      <c r="J115" s="320">
        <f>'Mode Operating Assumptions'!H20</f>
        <v>0.16923423954224476</v>
      </c>
      <c r="K115" s="320">
        <f>'Mode Operating Assumptions'!I20</f>
        <v>0.16953270334749443</v>
      </c>
      <c r="L115" s="320">
        <f>'Mode Operating Assumptions'!J20</f>
        <v>0.16983324841679548</v>
      </c>
      <c r="M115" s="320">
        <f>'Mode Operating Assumptions'!K20</f>
        <v>0.1701358965960923</v>
      </c>
      <c r="N115" s="320">
        <f>'Mode Operating Assumptions'!L20</f>
        <v>0.17044067003814328</v>
      </c>
      <c r="O115" s="320">
        <f>'Mode Operating Assumptions'!M20</f>
        <v>0.17074759120792632</v>
      </c>
      <c r="P115" s="320">
        <f>'Mode Operating Assumptions'!N20</f>
        <v>0.17105668288815862</v>
      </c>
      <c r="Q115" s="320">
        <f>'Mode Operating Assumptions'!O20</f>
        <v>0.17136796818493436</v>
      </c>
      <c r="R115" s="320">
        <f>'Mode Operating Assumptions'!P20</f>
        <v>0.17168147053348229</v>
      </c>
      <c r="S115" s="320">
        <f>'Mode Operating Assumptions'!Q20</f>
        <v>0.17199721370404747</v>
      </c>
      <c r="T115" s="320">
        <f>'Mode Operating Assumptions'!R20</f>
        <v>0.17231522180789902</v>
      </c>
      <c r="U115" s="320">
        <f>'Mode Operating Assumptions'!S20</f>
        <v>0.17263551930346793</v>
      </c>
      <c r="V115" s="320">
        <f>'Mode Operating Assumptions'!T20</f>
        <v>0.17295813100261781</v>
      </c>
      <c r="W115" s="320">
        <f>'Mode Operating Assumptions'!U20</f>
        <v>0.17328308207705193</v>
      </c>
      <c r="X115" s="320">
        <f>'Mode Operating Assumptions'!V20</f>
        <v>0.17361039806486056</v>
      </c>
      <c r="Y115" s="320">
        <f>'Mode Operating Assumptions'!W20</f>
        <v>0.17394010487721123</v>
      </c>
      <c r="Z115" s="320">
        <f>'Mode Operating Assumptions'!X20</f>
        <v>0.17427222880518653</v>
      </c>
      <c r="AA115" s="320">
        <f>'Mode Operating Assumptions'!Y20</f>
        <v>0.17460679652677269</v>
      </c>
      <c r="AB115" s="320">
        <f>'Mode Operating Assumptions'!Z20</f>
        <v>0.17494383511400308</v>
      </c>
      <c r="AC115" s="322">
        <f>'Mode Operating Assumptions'!AA20</f>
        <v>0.1752833720402604</v>
      </c>
      <c r="AD115" s="373">
        <f t="shared" si="5"/>
        <v>4.1178695716089688</v>
      </c>
    </row>
    <row r="116" spans="1:30">
      <c r="C116" s="243" t="s">
        <v>513</v>
      </c>
      <c r="D116" s="268">
        <f>'Mode Operating Assumptions'!C144</f>
        <v>0.20730027548209368</v>
      </c>
      <c r="E116" s="236"/>
      <c r="G116" s="314"/>
      <c r="H116" s="25"/>
      <c r="I116" s="25"/>
      <c r="J116" s="25"/>
      <c r="K116" s="25"/>
      <c r="L116" s="25"/>
      <c r="M116" s="25"/>
      <c r="N116" s="25"/>
      <c r="O116" s="25"/>
      <c r="P116" s="25"/>
      <c r="Q116" s="25"/>
      <c r="R116" s="25"/>
      <c r="S116" s="25"/>
      <c r="T116" s="25"/>
      <c r="U116" s="25"/>
      <c r="V116" s="25"/>
      <c r="W116" s="25"/>
      <c r="X116" s="25"/>
      <c r="Y116" s="25"/>
      <c r="Z116" s="25"/>
      <c r="AA116" s="25"/>
      <c r="AB116" s="25"/>
      <c r="AC116" s="281"/>
      <c r="AD116" s="358">
        <f t="shared" si="5"/>
        <v>0</v>
      </c>
    </row>
    <row r="117" spans="1:30" s="53" customFormat="1" ht="12">
      <c r="A117" s="44"/>
      <c r="B117" s="70"/>
      <c r="C117" s="243" t="s">
        <v>461</v>
      </c>
      <c r="D117" s="266">
        <f>D65</f>
        <v>0.234375</v>
      </c>
      <c r="E117" s="236"/>
      <c r="F117" s="313"/>
      <c r="G117" s="313"/>
      <c r="H117" s="313"/>
      <c r="I117" s="313"/>
      <c r="J117" s="313"/>
      <c r="K117" s="313"/>
      <c r="L117" s="313"/>
      <c r="M117" s="313"/>
      <c r="N117" s="313"/>
      <c r="O117" s="313"/>
      <c r="P117" s="313"/>
      <c r="Q117" s="313"/>
      <c r="R117" s="313"/>
      <c r="S117" s="313"/>
      <c r="T117" s="313"/>
      <c r="U117" s="313"/>
      <c r="V117" s="313"/>
      <c r="W117" s="313"/>
      <c r="X117" s="313"/>
      <c r="Y117" s="313"/>
      <c r="Z117" s="45"/>
      <c r="AA117" s="45"/>
      <c r="AB117" s="45"/>
      <c r="AC117" s="283"/>
      <c r="AD117" s="361">
        <f t="shared" si="5"/>
        <v>0</v>
      </c>
    </row>
    <row r="118" spans="1:30" s="53" customFormat="1" ht="12">
      <c r="A118" s="44"/>
      <c r="B118" s="70"/>
      <c r="C118" s="243" t="s">
        <v>421</v>
      </c>
      <c r="D118" s="266">
        <f>'Mode Operating Assumptions'!C52</f>
        <v>0.234375</v>
      </c>
      <c r="E118" s="236"/>
      <c r="F118" s="313"/>
      <c r="G118" s="313"/>
      <c r="H118" s="313"/>
      <c r="I118" s="313"/>
      <c r="J118" s="313"/>
      <c r="K118" s="313"/>
      <c r="L118" s="313"/>
      <c r="M118" s="313"/>
      <c r="N118" s="313"/>
      <c r="O118" s="313"/>
      <c r="P118" s="313"/>
      <c r="Q118" s="313"/>
      <c r="R118" s="313"/>
      <c r="S118" s="313"/>
      <c r="T118" s="313"/>
      <c r="U118" s="313"/>
      <c r="V118" s="313"/>
      <c r="W118" s="313"/>
      <c r="X118" s="313"/>
      <c r="Y118" s="313"/>
      <c r="Z118" s="45"/>
      <c r="AA118" s="45"/>
      <c r="AB118" s="45"/>
      <c r="AC118" s="283"/>
      <c r="AD118" s="361">
        <f t="shared" si="5"/>
        <v>0</v>
      </c>
    </row>
    <row r="119" spans="1:30" s="53" customFormat="1" ht="12">
      <c r="A119" s="44"/>
      <c r="C119" s="243" t="s">
        <v>400</v>
      </c>
      <c r="D119" s="273">
        <f>'Mode Operating Assumptions'!C21</f>
        <v>13.91</v>
      </c>
      <c r="E119" s="236"/>
      <c r="F119" s="313"/>
      <c r="G119" s="313"/>
      <c r="H119" s="313"/>
      <c r="I119" s="313"/>
      <c r="J119" s="313"/>
      <c r="K119" s="313"/>
      <c r="L119" s="313"/>
      <c r="M119" s="313"/>
      <c r="N119" s="313"/>
      <c r="O119" s="313"/>
      <c r="P119" s="313"/>
      <c r="Q119" s="313"/>
      <c r="R119" s="313"/>
      <c r="S119" s="313"/>
      <c r="T119" s="313"/>
      <c r="U119" s="313"/>
      <c r="V119" s="313"/>
      <c r="W119" s="313"/>
      <c r="X119" s="313"/>
      <c r="Y119" s="313"/>
      <c r="Z119" s="45"/>
      <c r="AA119" s="45"/>
      <c r="AB119" s="45"/>
      <c r="AC119" s="283"/>
      <c r="AD119" s="361">
        <f t="shared" si="5"/>
        <v>0</v>
      </c>
    </row>
    <row r="120" spans="1:30" s="53" customFormat="1" ht="12">
      <c r="A120" s="44"/>
      <c r="B120" s="70"/>
      <c r="C120" s="243" t="s">
        <v>401</v>
      </c>
      <c r="D120" s="273">
        <f>'Mode Operating Assumptions'!C145</f>
        <v>13.91</v>
      </c>
      <c r="E120" s="236"/>
      <c r="F120" s="313"/>
      <c r="G120" s="313"/>
      <c r="H120" s="313"/>
      <c r="I120" s="313"/>
      <c r="J120" s="313"/>
      <c r="K120" s="313"/>
      <c r="L120" s="313"/>
      <c r="M120" s="313"/>
      <c r="N120" s="313"/>
      <c r="O120" s="313"/>
      <c r="P120" s="313"/>
      <c r="Q120" s="313"/>
      <c r="R120" s="313"/>
      <c r="S120" s="313"/>
      <c r="T120" s="313"/>
      <c r="U120" s="313"/>
      <c r="V120" s="313"/>
      <c r="W120" s="313"/>
      <c r="X120" s="313"/>
      <c r="Y120" s="313"/>
      <c r="Z120" s="45"/>
      <c r="AA120" s="45"/>
      <c r="AB120" s="45"/>
      <c r="AC120" s="283"/>
      <c r="AD120" s="361">
        <f t="shared" si="5"/>
        <v>0</v>
      </c>
    </row>
    <row r="121" spans="1:30" s="53" customFormat="1" ht="12">
      <c r="A121" s="44"/>
      <c r="B121" s="70"/>
      <c r="C121" s="243" t="s">
        <v>419</v>
      </c>
      <c r="D121" s="273">
        <f>D68</f>
        <v>26.21</v>
      </c>
      <c r="E121" s="236"/>
      <c r="F121" s="313"/>
      <c r="G121" s="313"/>
      <c r="H121" s="313"/>
      <c r="I121" s="313"/>
      <c r="J121" s="313"/>
      <c r="K121" s="313"/>
      <c r="L121" s="313"/>
      <c r="M121" s="313"/>
      <c r="N121" s="313"/>
      <c r="O121" s="313"/>
      <c r="P121" s="313"/>
      <c r="Q121" s="313"/>
      <c r="R121" s="313"/>
      <c r="S121" s="313"/>
      <c r="T121" s="313"/>
      <c r="U121" s="313"/>
      <c r="V121" s="313"/>
      <c r="W121" s="313"/>
      <c r="X121" s="313"/>
      <c r="Y121" s="313"/>
      <c r="Z121" s="45"/>
      <c r="AA121" s="45"/>
      <c r="AB121" s="45"/>
      <c r="AC121" s="283"/>
      <c r="AD121" s="361">
        <f t="shared" si="5"/>
        <v>0</v>
      </c>
    </row>
    <row r="122" spans="1:30" s="53" customFormat="1" ht="12">
      <c r="A122" s="44"/>
      <c r="B122" s="70"/>
      <c r="C122" s="243" t="s">
        <v>468</v>
      </c>
      <c r="D122" s="273">
        <f>'Mode Operating Assumptions'!C103</f>
        <v>13.91</v>
      </c>
      <c r="E122" s="236"/>
      <c r="F122" s="313"/>
      <c r="G122" s="313"/>
      <c r="H122" s="313"/>
      <c r="I122" s="313"/>
      <c r="J122" s="313"/>
      <c r="K122" s="313"/>
      <c r="L122" s="313"/>
      <c r="M122" s="313"/>
      <c r="N122" s="313"/>
      <c r="O122" s="313"/>
      <c r="P122" s="313"/>
      <c r="Q122" s="313"/>
      <c r="R122" s="313"/>
      <c r="S122" s="313"/>
      <c r="T122" s="313"/>
      <c r="U122" s="313"/>
      <c r="V122" s="313"/>
      <c r="W122" s="313"/>
      <c r="X122" s="313"/>
      <c r="Y122" s="313"/>
      <c r="Z122" s="45"/>
      <c r="AA122" s="45"/>
      <c r="AB122" s="45"/>
      <c r="AC122" s="283"/>
      <c r="AD122" s="361">
        <f t="shared" si="5"/>
        <v>0</v>
      </c>
    </row>
    <row r="123" spans="1:30" s="53" customFormat="1" ht="12">
      <c r="A123" s="44"/>
      <c r="B123" s="70"/>
      <c r="C123" s="78" t="s">
        <v>514</v>
      </c>
      <c r="D123" s="273" t="s">
        <v>623</v>
      </c>
      <c r="E123" s="236"/>
      <c r="F123" s="275">
        <f>(F115*$D$119)-($D$117*$D$122)</f>
        <v>-0.92243093251222597</v>
      </c>
      <c r="G123" s="275">
        <f t="shared" ref="G123:AC123" si="24">(G115*$D$119)-($D$117*$D$122)</f>
        <v>-0.91839214655244072</v>
      </c>
      <c r="H123" s="275">
        <f t="shared" si="24"/>
        <v>-0.91432558449023782</v>
      </c>
      <c r="I123" s="275">
        <f t="shared" si="24"/>
        <v>-0.91023095879837435</v>
      </c>
      <c r="J123" s="275">
        <f t="shared" si="24"/>
        <v>-0.90610797796737552</v>
      </c>
      <c r="K123" s="275">
        <f t="shared" si="24"/>
        <v>-0.9019563464363527</v>
      </c>
      <c r="L123" s="275">
        <f t="shared" si="24"/>
        <v>-0.89777576452237495</v>
      </c>
      <c r="M123" s="275">
        <f t="shared" si="24"/>
        <v>-0.89356592834835613</v>
      </c>
      <c r="N123" s="275">
        <f t="shared" si="24"/>
        <v>-0.88932652976942705</v>
      </c>
      <c r="O123" s="275">
        <f t="shared" si="24"/>
        <v>-0.88505725629774501</v>
      </c>
      <c r="P123" s="275">
        <f t="shared" si="24"/>
        <v>-0.88075779102571383</v>
      </c>
      <c r="Q123" s="275">
        <f t="shared" si="24"/>
        <v>-0.87642781254756308</v>
      </c>
      <c r="R123" s="275">
        <f t="shared" si="24"/>
        <v>-0.87206699487926143</v>
      </c>
      <c r="S123" s="275">
        <f t="shared" si="24"/>
        <v>-0.86767500737669989</v>
      </c>
      <c r="T123" s="275">
        <f t="shared" si="24"/>
        <v>-0.86325151465212491</v>
      </c>
      <c r="U123" s="275">
        <f t="shared" si="24"/>
        <v>-0.85879617648876128</v>
      </c>
      <c r="V123" s="275">
        <f t="shared" si="24"/>
        <v>-0.85430864775358639</v>
      </c>
      <c r="W123" s="275">
        <f t="shared" si="24"/>
        <v>-0.84978857830820775</v>
      </c>
      <c r="X123" s="275">
        <f t="shared" si="24"/>
        <v>-0.84523561291778959</v>
      </c>
      <c r="Y123" s="275">
        <f t="shared" si="24"/>
        <v>-0.84064939115799175</v>
      </c>
      <c r="Z123" s="275">
        <f t="shared" si="24"/>
        <v>-0.83602954731985557</v>
      </c>
      <c r="AA123" s="275">
        <f t="shared" si="24"/>
        <v>-0.83137571031259183</v>
      </c>
      <c r="AB123" s="275">
        <f t="shared" si="24"/>
        <v>-0.82668750356421716</v>
      </c>
      <c r="AC123" s="288">
        <f t="shared" si="24"/>
        <v>-0.82196454491997795</v>
      </c>
      <c r="AD123" s="369">
        <f t="shared" si="5"/>
        <v>-20.964184258919257</v>
      </c>
    </row>
    <row r="124" spans="1:30" s="53" customFormat="1" ht="12">
      <c r="A124" s="44"/>
      <c r="B124" s="70"/>
      <c r="C124" s="319" t="s">
        <v>155</v>
      </c>
      <c r="D124" s="228"/>
      <c r="E124" s="236"/>
      <c r="F124" s="275">
        <f>F123*F108</f>
        <v>0</v>
      </c>
      <c r="G124" s="275">
        <f t="shared" ref="G124:AC124" si="25">G123*G108</f>
        <v>0</v>
      </c>
      <c r="H124" s="275">
        <f t="shared" si="25"/>
        <v>0</v>
      </c>
      <c r="I124" s="275">
        <f t="shared" si="25"/>
        <v>0</v>
      </c>
      <c r="J124" s="275">
        <f t="shared" si="25"/>
        <v>-6116.228851279785</v>
      </c>
      <c r="K124" s="275">
        <f t="shared" si="25"/>
        <v>-8312.6551778440353</v>
      </c>
      <c r="L124" s="275">
        <f t="shared" si="25"/>
        <v>-8356.8671486771327</v>
      </c>
      <c r="M124" s="275">
        <f t="shared" si="25"/>
        <v>-8400.8570595820638</v>
      </c>
      <c r="N124" s="275">
        <f t="shared" si="25"/>
        <v>-8444.6103718317336</v>
      </c>
      <c r="O124" s="275">
        <f t="shared" si="25"/>
        <v>-8488.1121504561106</v>
      </c>
      <c r="P124" s="275">
        <f t="shared" si="25"/>
        <v>-8531.3470546251574</v>
      </c>
      <c r="Q124" s="275">
        <f t="shared" si="25"/>
        <v>-8574.2993277937821</v>
      </c>
      <c r="R124" s="275">
        <f t="shared" si="25"/>
        <v>-8616.952787602675</v>
      </c>
      <c r="S124" s="275">
        <f t="shared" si="25"/>
        <v>-8659.2908155282439</v>
      </c>
      <c r="T124" s="275">
        <f t="shared" si="25"/>
        <v>-8701.2963462751813</v>
      </c>
      <c r="U124" s="275">
        <f t="shared" si="25"/>
        <v>-8742.9518569046195</v>
      </c>
      <c r="V124" s="275">
        <f t="shared" si="25"/>
        <v>-8784.2393556908046</v>
      </c>
      <c r="W124" s="275">
        <f t="shared" si="25"/>
        <v>-8825.1403706989568</v>
      </c>
      <c r="X124" s="275">
        <f t="shared" si="25"/>
        <v>-8865.6359380767481</v>
      </c>
      <c r="Y124" s="275">
        <f t="shared" si="25"/>
        <v>-8905.7065900517118</v>
      </c>
      <c r="Z124" s="275">
        <f t="shared" si="25"/>
        <v>-8945.3323426264669</v>
      </c>
      <c r="AA124" s="275">
        <f t="shared" si="25"/>
        <v>-8984.4926829635988</v>
      </c>
      <c r="AB124" s="275">
        <f t="shared" si="25"/>
        <v>-9023.1665564516989</v>
      </c>
      <c r="AC124" s="288">
        <f t="shared" si="25"/>
        <v>-9061.3323534437623</v>
      </c>
      <c r="AD124" s="369">
        <f t="shared" si="5"/>
        <v>-171340.51513840427</v>
      </c>
    </row>
    <row r="125" spans="1:30" s="53" customFormat="1" ht="12">
      <c r="A125" s="44"/>
      <c r="B125" s="70"/>
      <c r="C125" s="78" t="s">
        <v>515</v>
      </c>
      <c r="D125" s="273">
        <f>(D116*D120)-(D117*D122)</f>
        <v>-0.37660941804407688</v>
      </c>
      <c r="E125" s="236"/>
      <c r="F125" s="275">
        <f t="shared" ref="F125:AC125" si="26">$D125*F109</f>
        <v>0</v>
      </c>
      <c r="G125" s="275">
        <f t="shared" si="26"/>
        <v>0</v>
      </c>
      <c r="H125" s="275">
        <f t="shared" si="26"/>
        <v>0</v>
      </c>
      <c r="I125" s="275">
        <f t="shared" si="26"/>
        <v>0</v>
      </c>
      <c r="J125" s="275">
        <f t="shared" si="26"/>
        <v>-1271.0567858987595</v>
      </c>
      <c r="K125" s="275">
        <f t="shared" si="26"/>
        <v>-1735.4632745243619</v>
      </c>
      <c r="L125" s="275">
        <f t="shared" si="26"/>
        <v>-1752.8179072696055</v>
      </c>
      <c r="M125" s="275">
        <f t="shared" si="26"/>
        <v>-1770.3460863423018</v>
      </c>
      <c r="N125" s="275">
        <f t="shared" si="26"/>
        <v>-1788.0495472057246</v>
      </c>
      <c r="O125" s="275">
        <f t="shared" si="26"/>
        <v>-1805.9300426777816</v>
      </c>
      <c r="P125" s="275">
        <f t="shared" si="26"/>
        <v>-1823.9893431045598</v>
      </c>
      <c r="Q125" s="275">
        <f t="shared" si="26"/>
        <v>-1842.2292365356057</v>
      </c>
      <c r="R125" s="275">
        <f t="shared" si="26"/>
        <v>-1860.6515289009615</v>
      </c>
      <c r="S125" s="275">
        <f t="shared" si="26"/>
        <v>-1879.2580441899711</v>
      </c>
      <c r="T125" s="275">
        <f t="shared" si="26"/>
        <v>-1898.0506246318707</v>
      </c>
      <c r="U125" s="275">
        <f t="shared" si="26"/>
        <v>-1917.0311308781893</v>
      </c>
      <c r="V125" s="275">
        <f t="shared" si="26"/>
        <v>-1936.2014421869715</v>
      </c>
      <c r="W125" s="275">
        <f t="shared" si="26"/>
        <v>-1955.5634566088411</v>
      </c>
      <c r="X125" s="275">
        <f t="shared" si="26"/>
        <v>-1975.1190911749295</v>
      </c>
      <c r="Y125" s="275">
        <f t="shared" si="26"/>
        <v>-1994.8702820866788</v>
      </c>
      <c r="Z125" s="275">
        <f t="shared" si="26"/>
        <v>-2014.8189849075457</v>
      </c>
      <c r="AA125" s="275">
        <f t="shared" si="26"/>
        <v>-2034.967174756621</v>
      </c>
      <c r="AB125" s="275">
        <f t="shared" si="26"/>
        <v>-2055.3168465041872</v>
      </c>
      <c r="AC125" s="288">
        <f t="shared" si="26"/>
        <v>-2075.870014969229</v>
      </c>
      <c r="AD125" s="369">
        <f t="shared" si="5"/>
        <v>-37387.600845354704</v>
      </c>
    </row>
    <row r="126" spans="1:30" s="53" customFormat="1" ht="12">
      <c r="A126" s="44"/>
      <c r="B126" s="70"/>
      <c r="C126" s="78" t="s">
        <v>516</v>
      </c>
      <c r="D126" s="273">
        <f>(D118*D121)-(D117*D122)</f>
        <v>2.8828125000000004</v>
      </c>
      <c r="E126" s="236"/>
      <c r="F126" s="275">
        <f t="shared" ref="F126:AC126" si="27">$D126*F111</f>
        <v>0</v>
      </c>
      <c r="G126" s="275">
        <f t="shared" si="27"/>
        <v>0</v>
      </c>
      <c r="H126" s="275">
        <f t="shared" si="27"/>
        <v>0</v>
      </c>
      <c r="I126" s="275">
        <f t="shared" si="27"/>
        <v>0</v>
      </c>
      <c r="J126" s="275">
        <f t="shared" si="27"/>
        <v>29188.476562500004</v>
      </c>
      <c r="K126" s="275">
        <f t="shared" si="27"/>
        <v>39853.081054687507</v>
      </c>
      <c r="L126" s="275">
        <f t="shared" si="27"/>
        <v>40251.611865234379</v>
      </c>
      <c r="M126" s="275">
        <f t="shared" si="27"/>
        <v>40654.127983886727</v>
      </c>
      <c r="N126" s="275">
        <f t="shared" si="27"/>
        <v>41060.669263725591</v>
      </c>
      <c r="O126" s="275">
        <f t="shared" si="27"/>
        <v>41471.27595636285</v>
      </c>
      <c r="P126" s="275">
        <f t="shared" si="27"/>
        <v>41885.988715926484</v>
      </c>
      <c r="Q126" s="275">
        <f t="shared" si="27"/>
        <v>42304.848603085746</v>
      </c>
      <c r="R126" s="275">
        <f t="shared" si="27"/>
        <v>42727.897089116595</v>
      </c>
      <c r="S126" s="275">
        <f t="shared" si="27"/>
        <v>43155.176060007769</v>
      </c>
      <c r="T126" s="275">
        <f t="shared" si="27"/>
        <v>43586.727820607841</v>
      </c>
      <c r="U126" s="275">
        <f t="shared" si="27"/>
        <v>44022.595098813923</v>
      </c>
      <c r="V126" s="275">
        <f t="shared" si="27"/>
        <v>44462.821049802063</v>
      </c>
      <c r="W126" s="275">
        <f t="shared" si="27"/>
        <v>44907.449260300076</v>
      </c>
      <c r="X126" s="275">
        <f t="shared" si="27"/>
        <v>45356.523752903086</v>
      </c>
      <c r="Y126" s="275">
        <f t="shared" si="27"/>
        <v>45810.088990432123</v>
      </c>
      <c r="Z126" s="275">
        <f t="shared" si="27"/>
        <v>46268.189880336438</v>
      </c>
      <c r="AA126" s="275">
        <f t="shared" si="27"/>
        <v>46730.871779139801</v>
      </c>
      <c r="AB126" s="275">
        <f t="shared" si="27"/>
        <v>47198.180496931192</v>
      </c>
      <c r="AC126" s="288">
        <f t="shared" si="27"/>
        <v>47670.162301900513</v>
      </c>
      <c r="AD126" s="369">
        <f t="shared" si="5"/>
        <v>858566.76358570065</v>
      </c>
    </row>
    <row r="127" spans="1:30" s="53" customFormat="1" ht="12">
      <c r="A127" s="44"/>
      <c r="B127" s="70" t="s">
        <v>462</v>
      </c>
      <c r="C127" s="243" t="s">
        <v>403</v>
      </c>
      <c r="D127" s="229" t="s">
        <v>623</v>
      </c>
      <c r="E127" s="236"/>
      <c r="F127" s="326">
        <f>F63</f>
        <v>0.39100279786137265</v>
      </c>
      <c r="G127" s="326">
        <f t="shared" ref="G127:AC127" si="28">G63</f>
        <v>0.39205714599476826</v>
      </c>
      <c r="H127" s="326">
        <f t="shared" si="28"/>
        <v>0.39311874523828177</v>
      </c>
      <c r="I127" s="326">
        <f t="shared" si="28"/>
        <v>0.39418767065254157</v>
      </c>
      <c r="J127" s="326">
        <f t="shared" si="28"/>
        <v>0.39526399833776032</v>
      </c>
      <c r="K127" s="326">
        <f t="shared" si="28"/>
        <v>0.39634780545179538</v>
      </c>
      <c r="L127" s="326">
        <f t="shared" si="28"/>
        <v>0.39743917022858699</v>
      </c>
      <c r="M127" s="326">
        <f t="shared" si="28"/>
        <v>0.39853817199698321</v>
      </c>
      <c r="N127" s="326">
        <f t="shared" si="28"/>
        <v>0.39964489119996166</v>
      </c>
      <c r="O127" s="326">
        <f t="shared" si="28"/>
        <v>0.40075940941425758</v>
      </c>
      <c r="P127" s="326">
        <f t="shared" si="28"/>
        <v>0.40188180937040846</v>
      </c>
      <c r="Q127" s="326">
        <f t="shared" si="28"/>
        <v>0.40301217497322528</v>
      </c>
      <c r="R127" s="326">
        <f t="shared" si="28"/>
        <v>0.40415059132270104</v>
      </c>
      <c r="S127" s="326">
        <f t="shared" si="28"/>
        <v>0.40529714473536788</v>
      </c>
      <c r="T127" s="326">
        <f t="shared" si="28"/>
        <v>0.40645192276611369</v>
      </c>
      <c r="U127" s="326">
        <f t="shared" si="28"/>
        <v>0.40761501423047014</v>
      </c>
      <c r="V127" s="326">
        <f t="shared" si="28"/>
        <v>0.40878650922738302</v>
      </c>
      <c r="W127" s="326">
        <f t="shared" si="28"/>
        <v>0.40996649916247907</v>
      </c>
      <c r="X127" s="326">
        <f t="shared" si="28"/>
        <v>0.41115507677183999</v>
      </c>
      <c r="Y127" s="326">
        <f t="shared" si="28"/>
        <v>0.41235233614629774</v>
      </c>
      <c r="Z127" s="326">
        <f t="shared" si="28"/>
        <v>0.41355837275626389</v>
      </c>
      <c r="AA127" s="326">
        <f t="shared" si="28"/>
        <v>0.41477328347710757</v>
      </c>
      <c r="AB127" s="326">
        <f t="shared" si="28"/>
        <v>0.415997166615095</v>
      </c>
      <c r="AC127" s="410">
        <f t="shared" si="28"/>
        <v>0.41723012193390652</v>
      </c>
      <c r="AD127" s="374">
        <f t="shared" si="5"/>
        <v>9.6905878298649686</v>
      </c>
    </row>
    <row r="128" spans="1:30" s="53" customFormat="1" ht="12">
      <c r="A128" s="44"/>
      <c r="B128" s="70"/>
      <c r="C128" s="243" t="s">
        <v>471</v>
      </c>
      <c r="D128" s="228">
        <f>'Mode Operating Assumptions'!C152</f>
        <v>0.38127571701364549</v>
      </c>
      <c r="E128" s="236"/>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88"/>
      <c r="AD128" s="369">
        <f t="shared" si="5"/>
        <v>0</v>
      </c>
    </row>
    <row r="129" spans="1:30" s="53" customFormat="1" ht="12">
      <c r="A129" s="44"/>
      <c r="B129" s="70"/>
      <c r="C129" s="243" t="s">
        <v>472</v>
      </c>
      <c r="D129" s="228">
        <f>'Mode Operating Assumptions'!C102</f>
        <v>0.17899999999999999</v>
      </c>
      <c r="E129" s="236"/>
      <c r="F129" s="275"/>
      <c r="G129" s="275"/>
      <c r="H129" s="275"/>
      <c r="I129" s="275"/>
      <c r="J129" s="275"/>
      <c r="K129" s="275"/>
      <c r="L129" s="275"/>
      <c r="M129" s="275"/>
      <c r="N129" s="275"/>
      <c r="O129" s="275"/>
      <c r="P129" s="275"/>
      <c r="Q129" s="275"/>
      <c r="R129" s="275"/>
      <c r="S129" s="275"/>
      <c r="T129" s="275"/>
      <c r="U129" s="275"/>
      <c r="V129" s="275"/>
      <c r="W129" s="275"/>
      <c r="X129" s="275"/>
      <c r="Y129" s="275"/>
      <c r="Z129" s="275"/>
      <c r="AA129" s="275"/>
      <c r="AB129" s="275"/>
      <c r="AC129" s="288"/>
      <c r="AD129" s="369">
        <f t="shared" si="5"/>
        <v>0</v>
      </c>
    </row>
    <row r="130" spans="1:30" s="53" customFormat="1" ht="12">
      <c r="A130" s="44"/>
      <c r="B130" s="70"/>
      <c r="C130" s="78" t="s">
        <v>517</v>
      </c>
      <c r="D130" s="228"/>
      <c r="E130" s="236"/>
      <c r="F130" s="275">
        <f>(F127*$D$119)-(($D$128*$D$120)+($D$129*$D$122))</f>
        <v>-2.3545863054081151</v>
      </c>
      <c r="G130" s="275">
        <f t="shared" ref="G130:AC130" si="29">(G127*$D$119)-(($D$128*$D$120)+($D$129*$D$122))</f>
        <v>-2.3399203228725822</v>
      </c>
      <c r="H130" s="275">
        <f t="shared" si="29"/>
        <v>-2.3251534773953093</v>
      </c>
      <c r="I130" s="275">
        <f t="shared" si="29"/>
        <v>-2.3102847248829557</v>
      </c>
      <c r="J130" s="275">
        <f t="shared" si="29"/>
        <v>-2.2953130067815621</v>
      </c>
      <c r="K130" s="275">
        <f t="shared" si="29"/>
        <v>-2.2802372498253352</v>
      </c>
      <c r="L130" s="275">
        <f t="shared" si="29"/>
        <v>-2.2650563657801639</v>
      </c>
      <c r="M130" s="275">
        <f t="shared" si="29"/>
        <v>-2.249769251181772</v>
      </c>
      <c r="N130" s="275">
        <f t="shared" si="29"/>
        <v>-2.2343747870683419</v>
      </c>
      <c r="O130" s="275">
        <f t="shared" si="29"/>
        <v>-2.2188718387074857</v>
      </c>
      <c r="P130" s="275">
        <f t="shared" si="29"/>
        <v>-2.2032592553174268</v>
      </c>
      <c r="Q130" s="275">
        <f t="shared" si="29"/>
        <v>-2.1875358697822449</v>
      </c>
      <c r="R130" s="275">
        <f t="shared" si="29"/>
        <v>-2.1717004983610373</v>
      </c>
      <c r="S130" s="275">
        <f t="shared" si="29"/>
        <v>-2.1557519403908412</v>
      </c>
      <c r="T130" s="275">
        <f t="shared" si="29"/>
        <v>-2.1396889779831669</v>
      </c>
      <c r="U130" s="275">
        <f t="shared" si="29"/>
        <v>-2.1235103757139688</v>
      </c>
      <c r="V130" s="275">
        <f t="shared" si="29"/>
        <v>-2.1072148803069108</v>
      </c>
      <c r="W130" s="275">
        <f t="shared" si="29"/>
        <v>-2.090801220309725</v>
      </c>
      <c r="X130" s="275">
        <f t="shared" si="29"/>
        <v>-2.0742681057635144</v>
      </c>
      <c r="Y130" s="275">
        <f t="shared" si="29"/>
        <v>-2.0576142278648071</v>
      </c>
      <c r="Z130" s="275">
        <f t="shared" si="29"/>
        <v>-2.0408382586201776</v>
      </c>
      <c r="AA130" s="275">
        <f t="shared" si="29"/>
        <v>-2.0239388504932423</v>
      </c>
      <c r="AB130" s="275">
        <f t="shared" si="29"/>
        <v>-2.0069146360438372</v>
      </c>
      <c r="AC130" s="288">
        <f t="shared" si="29"/>
        <v>-1.9897642275591689</v>
      </c>
      <c r="AD130" s="369">
        <f t="shared" si="5"/>
        <v>-52.2463686544137</v>
      </c>
    </row>
    <row r="131" spans="1:30" s="53" customFormat="1" ht="12">
      <c r="A131" s="44"/>
      <c r="D131" s="228"/>
      <c r="E131" s="236"/>
      <c r="F131" s="275">
        <f>$F130*F112</f>
        <v>0</v>
      </c>
      <c r="G131" s="275">
        <f t="shared" ref="G131:AC131" si="30">$F130*G112</f>
        <v>0</v>
      </c>
      <c r="H131" s="275">
        <f t="shared" si="30"/>
        <v>0</v>
      </c>
      <c r="I131" s="275">
        <f t="shared" si="30"/>
        <v>0</v>
      </c>
      <c r="J131" s="275">
        <f t="shared" si="30"/>
        <v>-39733.643903761942</v>
      </c>
      <c r="K131" s="275">
        <f t="shared" si="30"/>
        <v>-54251.140093043854</v>
      </c>
      <c r="L131" s="275">
        <f t="shared" si="30"/>
        <v>-54793.651493974292</v>
      </c>
      <c r="M131" s="275">
        <f t="shared" si="30"/>
        <v>-55341.588008914041</v>
      </c>
      <c r="N131" s="275">
        <f t="shared" si="30"/>
        <v>-55895.003889003172</v>
      </c>
      <c r="O131" s="275">
        <f t="shared" si="30"/>
        <v>-56453.953927893199</v>
      </c>
      <c r="P131" s="275">
        <f t="shared" si="30"/>
        <v>-57018.493467172142</v>
      </c>
      <c r="Q131" s="275">
        <f t="shared" si="30"/>
        <v>-57588.67840184387</v>
      </c>
      <c r="R131" s="275">
        <f t="shared" si="30"/>
        <v>-58164.565185862302</v>
      </c>
      <c r="S131" s="275">
        <f t="shared" si="30"/>
        <v>-58746.210837720922</v>
      </c>
      <c r="T131" s="275">
        <f t="shared" si="30"/>
        <v>-59333.672946098137</v>
      </c>
      <c r="U131" s="275">
        <f t="shared" si="30"/>
        <v>-59927.009675559115</v>
      </c>
      <c r="V131" s="275">
        <f t="shared" si="30"/>
        <v>-60526.279772314709</v>
      </c>
      <c r="W131" s="275">
        <f t="shared" si="30"/>
        <v>-61131.542570037847</v>
      </c>
      <c r="X131" s="275">
        <f t="shared" si="30"/>
        <v>-61742.857995738232</v>
      </c>
      <c r="Y131" s="275">
        <f t="shared" si="30"/>
        <v>-62360.286575695616</v>
      </c>
      <c r="Z131" s="275">
        <f t="shared" si="30"/>
        <v>-62983.889441452571</v>
      </c>
      <c r="AA131" s="275">
        <f t="shared" si="30"/>
        <v>-63613.728335867097</v>
      </c>
      <c r="AB131" s="275">
        <f t="shared" si="30"/>
        <v>-64249.865619225762</v>
      </c>
      <c r="AC131" s="288">
        <f t="shared" si="30"/>
        <v>-64892.364275418033</v>
      </c>
      <c r="AD131" s="369">
        <f t="shared" si="5"/>
        <v>-1168748.4264165969</v>
      </c>
    </row>
    <row r="132" spans="1:30" s="53" customFormat="1" ht="12">
      <c r="A132" s="44"/>
      <c r="B132" s="70"/>
      <c r="C132" s="62" t="s">
        <v>429</v>
      </c>
      <c r="D132" s="231"/>
      <c r="E132" s="432"/>
      <c r="F132" s="433">
        <f>F131+F126+F125+F124</f>
        <v>0</v>
      </c>
      <c r="G132" s="433">
        <f t="shared" ref="G132:AC132" si="31">G131+G126+G125+G124</f>
        <v>0</v>
      </c>
      <c r="H132" s="433">
        <f t="shared" si="31"/>
        <v>0</v>
      </c>
      <c r="I132" s="433">
        <f t="shared" si="31"/>
        <v>0</v>
      </c>
      <c r="J132" s="309">
        <f t="shared" si="31"/>
        <v>-17932.452978440484</v>
      </c>
      <c r="K132" s="309">
        <f t="shared" si="31"/>
        <v>-24446.177490724745</v>
      </c>
      <c r="L132" s="309">
        <f t="shared" si="31"/>
        <v>-24651.724684686651</v>
      </c>
      <c r="M132" s="309">
        <f t="shared" si="31"/>
        <v>-24858.663170951681</v>
      </c>
      <c r="N132" s="309">
        <f t="shared" si="31"/>
        <v>-25066.994544315035</v>
      </c>
      <c r="O132" s="309">
        <f t="shared" si="31"/>
        <v>-25276.720164664242</v>
      </c>
      <c r="P132" s="309">
        <f t="shared" si="31"/>
        <v>-25487.841148975378</v>
      </c>
      <c r="Q132" s="309">
        <f t="shared" si="31"/>
        <v>-25700.358363087511</v>
      </c>
      <c r="R132" s="309">
        <f t="shared" si="31"/>
        <v>-25914.272413249346</v>
      </c>
      <c r="S132" s="309">
        <f t="shared" si="31"/>
        <v>-26129.583637431366</v>
      </c>
      <c r="T132" s="309">
        <f t="shared" si="31"/>
        <v>-26346.292096397345</v>
      </c>
      <c r="U132" s="309">
        <f t="shared" si="31"/>
        <v>-26564.397564528001</v>
      </c>
      <c r="V132" s="309">
        <f t="shared" si="31"/>
        <v>-26783.89952039042</v>
      </c>
      <c r="W132" s="309">
        <f t="shared" si="31"/>
        <v>-27004.797137045571</v>
      </c>
      <c r="X132" s="309">
        <f t="shared" si="31"/>
        <v>-27227.089272086821</v>
      </c>
      <c r="Y132" s="309">
        <f t="shared" si="31"/>
        <v>-27450.774457401883</v>
      </c>
      <c r="Z132" s="309">
        <f t="shared" si="31"/>
        <v>-27675.850888650144</v>
      </c>
      <c r="AA132" s="309">
        <f t="shared" si="31"/>
        <v>-27902.316414447516</v>
      </c>
      <c r="AB132" s="309">
        <f t="shared" si="31"/>
        <v>-28130.168525250458</v>
      </c>
      <c r="AC132" s="309">
        <f t="shared" si="31"/>
        <v>-28359.404341930513</v>
      </c>
      <c r="AD132" s="309">
        <f t="shared" si="5"/>
        <v>-518909.7788146552</v>
      </c>
    </row>
    <row r="133" spans="1:30" s="53" customFormat="1" ht="12">
      <c r="A133" s="44"/>
      <c r="B133" s="70"/>
      <c r="D133" s="229"/>
      <c r="E133" s="236"/>
      <c r="F133" s="59"/>
      <c r="G133" s="59"/>
      <c r="H133" s="59"/>
      <c r="I133" s="59"/>
      <c r="J133" s="59"/>
      <c r="K133" s="59"/>
      <c r="L133" s="59"/>
      <c r="M133" s="59"/>
      <c r="N133" s="59"/>
      <c r="O133" s="59"/>
      <c r="P133" s="59"/>
      <c r="Q133" s="59"/>
      <c r="R133" s="59"/>
      <c r="S133" s="59"/>
      <c r="T133" s="59"/>
      <c r="U133" s="59"/>
      <c r="V133" s="59"/>
      <c r="W133" s="59"/>
      <c r="X133" s="59"/>
      <c r="Y133" s="59"/>
      <c r="AC133" s="283"/>
      <c r="AD133" s="361">
        <f t="shared" si="5"/>
        <v>0</v>
      </c>
    </row>
    <row r="134" spans="1:30" s="53" customFormat="1" ht="12">
      <c r="A134" s="44"/>
      <c r="B134" s="70"/>
      <c r="C134" s="63" t="s">
        <v>149</v>
      </c>
      <c r="D134" s="229"/>
      <c r="E134" s="236"/>
      <c r="F134" s="59"/>
      <c r="G134" s="59"/>
      <c r="H134" s="59"/>
      <c r="I134" s="59"/>
      <c r="J134" s="59"/>
      <c r="K134" s="59"/>
      <c r="L134" s="59"/>
      <c r="M134" s="59"/>
      <c r="N134" s="59"/>
      <c r="O134" s="59"/>
      <c r="P134" s="59"/>
      <c r="Q134" s="59"/>
      <c r="R134" s="59"/>
      <c r="S134" s="59"/>
      <c r="T134" s="59"/>
      <c r="U134" s="59"/>
      <c r="V134" s="59"/>
      <c r="W134" s="59"/>
      <c r="X134" s="59"/>
      <c r="Y134" s="59"/>
      <c r="AC134" s="283"/>
      <c r="AD134" s="361">
        <f t="shared" ref="AD134:AD197" si="32">SUM(F134:AC134)</f>
        <v>0</v>
      </c>
    </row>
    <row r="135" spans="1:30" s="53" customFormat="1" ht="12">
      <c r="A135" s="44"/>
      <c r="B135" s="70"/>
      <c r="C135" s="243" t="s">
        <v>476</v>
      </c>
      <c r="D135" s="273">
        <f>D101</f>
        <v>8.1905000000000001</v>
      </c>
      <c r="E135" s="236"/>
      <c r="F135" s="59"/>
      <c r="G135" s="59"/>
      <c r="H135" s="59"/>
      <c r="I135" s="59"/>
      <c r="J135" s="59"/>
      <c r="K135" s="59"/>
      <c r="L135" s="59"/>
      <c r="M135" s="59"/>
      <c r="N135" s="59"/>
      <c r="O135" s="59"/>
      <c r="P135" s="59"/>
      <c r="Q135" s="59"/>
      <c r="R135" s="59"/>
      <c r="S135" s="59"/>
      <c r="T135" s="59"/>
      <c r="U135" s="59"/>
      <c r="V135" s="59"/>
      <c r="W135" s="59"/>
      <c r="X135" s="59"/>
      <c r="Y135" s="59"/>
      <c r="AC135" s="283"/>
      <c r="AD135" s="361">
        <f t="shared" si="32"/>
        <v>0</v>
      </c>
    </row>
    <row r="136" spans="1:30" s="53" customFormat="1" ht="12">
      <c r="A136" s="44"/>
      <c r="B136" s="70"/>
      <c r="C136" s="244" t="s">
        <v>477</v>
      </c>
      <c r="D136" s="273">
        <f>D102</f>
        <v>2.107407271835358</v>
      </c>
      <c r="E136" s="236"/>
      <c r="F136" s="59"/>
      <c r="G136" s="59"/>
      <c r="H136" s="59"/>
      <c r="I136" s="59"/>
      <c r="J136" s="59"/>
      <c r="K136" s="59"/>
      <c r="L136" s="59"/>
      <c r="M136" s="59"/>
      <c r="N136" s="59"/>
      <c r="O136" s="59"/>
      <c r="P136" s="59"/>
      <c r="Q136" s="59"/>
      <c r="R136" s="59"/>
      <c r="S136" s="59"/>
      <c r="T136" s="59"/>
      <c r="U136" s="59"/>
      <c r="V136" s="59"/>
      <c r="W136" s="59"/>
      <c r="X136" s="59"/>
      <c r="Y136" s="59"/>
      <c r="AC136" s="283"/>
      <c r="AD136" s="361">
        <f t="shared" si="32"/>
        <v>0</v>
      </c>
    </row>
    <row r="137" spans="1:30" s="53" customFormat="1" ht="12">
      <c r="A137" s="44"/>
      <c r="B137" s="70"/>
      <c r="C137" s="244" t="s">
        <v>478</v>
      </c>
      <c r="D137" s="273">
        <f>'Mode Operating Assumptions'!C61</f>
        <v>0.1</v>
      </c>
      <c r="E137" s="236"/>
      <c r="F137" s="59"/>
      <c r="G137" s="59"/>
      <c r="H137" s="59"/>
      <c r="I137" s="59"/>
      <c r="J137" s="59"/>
      <c r="K137" s="59"/>
      <c r="L137" s="59"/>
      <c r="M137" s="59"/>
      <c r="N137" s="59"/>
      <c r="O137" s="59"/>
      <c r="P137" s="59"/>
      <c r="Q137" s="59"/>
      <c r="R137" s="59"/>
      <c r="S137" s="59"/>
      <c r="T137" s="59"/>
      <c r="U137" s="59"/>
      <c r="V137" s="59"/>
      <c r="W137" s="59"/>
      <c r="X137" s="59"/>
      <c r="Y137" s="59"/>
      <c r="AC137" s="283"/>
      <c r="AD137" s="361">
        <f t="shared" si="32"/>
        <v>0</v>
      </c>
    </row>
    <row r="138" spans="1:30" s="53" customFormat="1" ht="12">
      <c r="A138" s="44"/>
      <c r="B138" s="70"/>
      <c r="C138" s="243" t="s">
        <v>479</v>
      </c>
      <c r="D138" s="273">
        <f>'Mode Operating Assumptions'!C54</f>
        <v>0.05</v>
      </c>
      <c r="E138" s="236"/>
      <c r="F138" s="59"/>
      <c r="G138" s="59"/>
      <c r="H138" s="59"/>
      <c r="I138" s="59"/>
      <c r="J138" s="59"/>
      <c r="K138" s="59"/>
      <c r="L138" s="59"/>
      <c r="M138" s="59"/>
      <c r="N138" s="59"/>
      <c r="O138" s="59"/>
      <c r="P138" s="59"/>
      <c r="Q138" s="59"/>
      <c r="R138" s="59"/>
      <c r="S138" s="59"/>
      <c r="T138" s="59"/>
      <c r="U138" s="59"/>
      <c r="V138" s="59"/>
      <c r="W138" s="59"/>
      <c r="X138" s="59"/>
      <c r="Y138" s="59"/>
      <c r="AC138" s="283"/>
      <c r="AD138" s="361">
        <f t="shared" si="32"/>
        <v>0</v>
      </c>
    </row>
    <row r="139" spans="1:30" s="53" customFormat="1" ht="12">
      <c r="A139" s="44"/>
      <c r="B139" s="70"/>
      <c r="C139" s="244" t="s">
        <v>480</v>
      </c>
      <c r="D139" s="273">
        <f>'Mode Operating Assumptions'!C95*'Mode Operating Assumptions'!C86</f>
        <v>0.19708904109589043</v>
      </c>
      <c r="E139" s="236"/>
      <c r="F139" s="59"/>
      <c r="G139" s="59"/>
      <c r="H139" s="59"/>
      <c r="I139" s="59"/>
      <c r="J139" s="59"/>
      <c r="K139" s="59"/>
      <c r="L139" s="59"/>
      <c r="M139" s="59"/>
      <c r="N139" s="59"/>
      <c r="O139" s="59"/>
      <c r="P139" s="59"/>
      <c r="Q139" s="59"/>
      <c r="R139" s="59"/>
      <c r="S139" s="59"/>
      <c r="T139" s="59"/>
      <c r="U139" s="59"/>
      <c r="V139" s="59"/>
      <c r="W139" s="59"/>
      <c r="X139" s="59"/>
      <c r="Y139" s="59"/>
      <c r="AC139" s="283"/>
      <c r="AD139" s="361">
        <f t="shared" si="32"/>
        <v>0</v>
      </c>
    </row>
    <row r="140" spans="1:30" s="53" customFormat="1" ht="12">
      <c r="A140" s="44"/>
      <c r="B140" s="70" t="s">
        <v>463</v>
      </c>
      <c r="C140" s="78" t="s">
        <v>481</v>
      </c>
      <c r="D140" s="273">
        <f>D135-D139</f>
        <v>7.9934109589041098</v>
      </c>
      <c r="E140" s="236"/>
      <c r="F140" s="275">
        <f t="shared" ref="F140:AC140" si="33">$D140*F108</f>
        <v>0</v>
      </c>
      <c r="G140" s="275">
        <f t="shared" si="33"/>
        <v>0</v>
      </c>
      <c r="H140" s="275">
        <f t="shared" si="33"/>
        <v>0</v>
      </c>
      <c r="I140" s="275">
        <f t="shared" si="33"/>
        <v>0</v>
      </c>
      <c r="J140" s="275">
        <f t="shared" si="33"/>
        <v>53955.523972602743</v>
      </c>
      <c r="K140" s="275">
        <f t="shared" si="33"/>
        <v>73669.273750000008</v>
      </c>
      <c r="L140" s="275">
        <f t="shared" si="33"/>
        <v>74405.966487500002</v>
      </c>
      <c r="M140" s="275">
        <f t="shared" si="33"/>
        <v>75150.026152375009</v>
      </c>
      <c r="N140" s="275">
        <f t="shared" si="33"/>
        <v>75901.526413898755</v>
      </c>
      <c r="O140" s="275">
        <f t="shared" si="33"/>
        <v>76660.541678037727</v>
      </c>
      <c r="P140" s="275">
        <f t="shared" si="33"/>
        <v>77427.147094818123</v>
      </c>
      <c r="Q140" s="275">
        <f t="shared" si="33"/>
        <v>78201.418565766318</v>
      </c>
      <c r="R140" s="275">
        <f t="shared" si="33"/>
        <v>78983.43275142397</v>
      </c>
      <c r="S140" s="275">
        <f t="shared" si="33"/>
        <v>79773.26707893821</v>
      </c>
      <c r="T140" s="275">
        <f t="shared" si="33"/>
        <v>80570.999749727591</v>
      </c>
      <c r="U140" s="275">
        <f t="shared" si="33"/>
        <v>81376.709747224857</v>
      </c>
      <c r="V140" s="275">
        <f t="shared" si="33"/>
        <v>82190.476844697128</v>
      </c>
      <c r="W140" s="275">
        <f t="shared" si="33"/>
        <v>83012.381613144098</v>
      </c>
      <c r="X140" s="275">
        <f t="shared" si="33"/>
        <v>83842.505429275523</v>
      </c>
      <c r="Y140" s="275">
        <f t="shared" si="33"/>
        <v>84680.930483568285</v>
      </c>
      <c r="Z140" s="275">
        <f t="shared" si="33"/>
        <v>85527.739788403967</v>
      </c>
      <c r="AA140" s="275">
        <f t="shared" si="33"/>
        <v>86383.017186288009</v>
      </c>
      <c r="AB140" s="275">
        <f t="shared" si="33"/>
        <v>87246.847358150888</v>
      </c>
      <c r="AC140" s="288">
        <f t="shared" si="33"/>
        <v>88119.315831732398</v>
      </c>
      <c r="AD140" s="369">
        <f t="shared" si="32"/>
        <v>1587079.0479775735</v>
      </c>
    </row>
    <row r="141" spans="1:30" s="53" customFormat="1" ht="12">
      <c r="A141" s="44"/>
      <c r="B141" s="70"/>
      <c r="C141" s="78" t="s">
        <v>482</v>
      </c>
      <c r="D141" s="273">
        <f>D136-D139</f>
        <v>1.9103182307394677</v>
      </c>
      <c r="E141" s="236"/>
      <c r="F141" s="275">
        <f t="shared" ref="F141:AC141" si="34">$D141*F109</f>
        <v>0</v>
      </c>
      <c r="G141" s="275">
        <f t="shared" si="34"/>
        <v>0</v>
      </c>
      <c r="H141" s="275">
        <f t="shared" si="34"/>
        <v>0</v>
      </c>
      <c r="I141" s="275">
        <f t="shared" si="34"/>
        <v>0</v>
      </c>
      <c r="J141" s="275">
        <f t="shared" si="34"/>
        <v>6447.3240287457038</v>
      </c>
      <c r="K141" s="275">
        <f t="shared" si="34"/>
        <v>8802.9851970263098</v>
      </c>
      <c r="L141" s="275">
        <f t="shared" si="34"/>
        <v>8891.0150489965727</v>
      </c>
      <c r="M141" s="275">
        <f t="shared" si="34"/>
        <v>8979.9251994865408</v>
      </c>
      <c r="N141" s="275">
        <f t="shared" si="34"/>
        <v>9069.7244514814047</v>
      </c>
      <c r="O141" s="275">
        <f t="shared" si="34"/>
        <v>9160.4216959962177</v>
      </c>
      <c r="P141" s="275">
        <f t="shared" si="34"/>
        <v>9252.0259129561819</v>
      </c>
      <c r="Q141" s="275">
        <f t="shared" si="34"/>
        <v>9344.5461720857438</v>
      </c>
      <c r="R141" s="275">
        <f t="shared" si="34"/>
        <v>9437.9916338066014</v>
      </c>
      <c r="S141" s="275">
        <f t="shared" si="34"/>
        <v>9532.3715501446677</v>
      </c>
      <c r="T141" s="275">
        <f t="shared" si="34"/>
        <v>9627.6952656461126</v>
      </c>
      <c r="U141" s="275">
        <f t="shared" si="34"/>
        <v>9723.9722183025733</v>
      </c>
      <c r="V141" s="275">
        <f t="shared" si="34"/>
        <v>9821.2119404856003</v>
      </c>
      <c r="W141" s="275">
        <f t="shared" si="34"/>
        <v>9919.4240598904562</v>
      </c>
      <c r="X141" s="275">
        <f t="shared" si="34"/>
        <v>10018.618300489361</v>
      </c>
      <c r="Y141" s="275">
        <f t="shared" si="34"/>
        <v>10118.804483494254</v>
      </c>
      <c r="Z141" s="275">
        <f t="shared" si="34"/>
        <v>10219.992528329198</v>
      </c>
      <c r="AA141" s="275">
        <f t="shared" si="34"/>
        <v>10322.19245361249</v>
      </c>
      <c r="AB141" s="275">
        <f t="shared" si="34"/>
        <v>10425.414378148615</v>
      </c>
      <c r="AC141" s="288">
        <f t="shared" si="34"/>
        <v>10529.6685219301</v>
      </c>
      <c r="AD141" s="369">
        <f t="shared" si="32"/>
        <v>189645.32504105469</v>
      </c>
    </row>
    <row r="142" spans="1:30" s="53" customFormat="1" ht="12">
      <c r="A142" s="44"/>
      <c r="B142" s="70"/>
      <c r="C142" s="78" t="s">
        <v>483</v>
      </c>
      <c r="D142" s="273">
        <f>D137-D139</f>
        <v>-9.7089041095890422E-2</v>
      </c>
      <c r="E142" s="236"/>
      <c r="F142" s="275">
        <f t="shared" ref="F142:AC142" si="35">$D142*F110</f>
        <v>0</v>
      </c>
      <c r="G142" s="275">
        <f t="shared" si="35"/>
        <v>0</v>
      </c>
      <c r="H142" s="275">
        <f t="shared" si="35"/>
        <v>0</v>
      </c>
      <c r="I142" s="275">
        <f t="shared" si="35"/>
        <v>0</v>
      </c>
      <c r="J142" s="275">
        <f t="shared" si="35"/>
        <v>-327.6755136986302</v>
      </c>
      <c r="K142" s="275">
        <f t="shared" si="35"/>
        <v>-447.39843750000006</v>
      </c>
      <c r="L142" s="275">
        <f t="shared" si="35"/>
        <v>-451.87242187500004</v>
      </c>
      <c r="M142" s="275">
        <f t="shared" si="35"/>
        <v>-456.39114609375014</v>
      </c>
      <c r="N142" s="275">
        <f t="shared" si="35"/>
        <v>-460.95505755468758</v>
      </c>
      <c r="O142" s="275">
        <f t="shared" si="35"/>
        <v>-465.56460813023438</v>
      </c>
      <c r="P142" s="275">
        <f t="shared" si="35"/>
        <v>-470.22025421153683</v>
      </c>
      <c r="Q142" s="275">
        <f t="shared" si="35"/>
        <v>-474.92245675365228</v>
      </c>
      <c r="R142" s="275">
        <f t="shared" si="35"/>
        <v>-479.67168132118877</v>
      </c>
      <c r="S142" s="275">
        <f t="shared" si="35"/>
        <v>-484.46839813440062</v>
      </c>
      <c r="T142" s="275">
        <f t="shared" si="35"/>
        <v>-489.31308211574458</v>
      </c>
      <c r="U142" s="275">
        <f t="shared" si="35"/>
        <v>-494.20621293690203</v>
      </c>
      <c r="V142" s="275">
        <f t="shared" si="35"/>
        <v>-499.14827506627114</v>
      </c>
      <c r="W142" s="275">
        <f t="shared" si="35"/>
        <v>-504.13975781693381</v>
      </c>
      <c r="X142" s="275">
        <f t="shared" si="35"/>
        <v>-509.18115539510313</v>
      </c>
      <c r="Y142" s="275">
        <f t="shared" si="35"/>
        <v>-514.27296694905419</v>
      </c>
      <c r="Z142" s="275">
        <f t="shared" si="35"/>
        <v>-519.41569661854476</v>
      </c>
      <c r="AA142" s="275">
        <f t="shared" si="35"/>
        <v>-524.60985358473022</v>
      </c>
      <c r="AB142" s="275">
        <f t="shared" si="35"/>
        <v>-529.85595212057751</v>
      </c>
      <c r="AC142" s="288">
        <f t="shared" si="35"/>
        <v>-535.1545116417833</v>
      </c>
      <c r="AD142" s="369">
        <f t="shared" si="32"/>
        <v>-9638.437439518726</v>
      </c>
    </row>
    <row r="143" spans="1:30" s="53" customFormat="1" ht="12">
      <c r="A143" s="44"/>
      <c r="B143" s="70"/>
      <c r="C143" s="78" t="s">
        <v>484</v>
      </c>
      <c r="D143" s="273">
        <f>D138-D139</f>
        <v>-0.14708904109589044</v>
      </c>
      <c r="E143" s="236"/>
      <c r="F143" s="275">
        <f t="shared" ref="F143:AC143" si="36">$D143*F111</f>
        <v>0</v>
      </c>
      <c r="G143" s="275">
        <f t="shared" si="36"/>
        <v>0</v>
      </c>
      <c r="H143" s="275">
        <f t="shared" si="36"/>
        <v>0</v>
      </c>
      <c r="I143" s="275">
        <f t="shared" si="36"/>
        <v>0</v>
      </c>
      <c r="J143" s="275">
        <f t="shared" si="36"/>
        <v>-1489.2765410958907</v>
      </c>
      <c r="K143" s="275">
        <f t="shared" si="36"/>
        <v>-2033.4140625000005</v>
      </c>
      <c r="L143" s="275">
        <f t="shared" si="36"/>
        <v>-2053.7482031250001</v>
      </c>
      <c r="M143" s="275">
        <f t="shared" si="36"/>
        <v>-2074.2856851562506</v>
      </c>
      <c r="N143" s="275">
        <f t="shared" si="36"/>
        <v>-2095.0285420078126</v>
      </c>
      <c r="O143" s="275">
        <f t="shared" si="36"/>
        <v>-2115.9788274278908</v>
      </c>
      <c r="P143" s="275">
        <f t="shared" si="36"/>
        <v>-2137.1386157021702</v>
      </c>
      <c r="Q143" s="275">
        <f t="shared" si="36"/>
        <v>-2158.510001859192</v>
      </c>
      <c r="R143" s="275">
        <f t="shared" si="36"/>
        <v>-2180.0951018777832</v>
      </c>
      <c r="S143" s="275">
        <f t="shared" si="36"/>
        <v>-2201.8960528965613</v>
      </c>
      <c r="T143" s="275">
        <f t="shared" si="36"/>
        <v>-2223.9150134255269</v>
      </c>
      <c r="U143" s="275">
        <f t="shared" si="36"/>
        <v>-2246.1541635597823</v>
      </c>
      <c r="V143" s="275">
        <f t="shared" si="36"/>
        <v>-2268.6157051953805</v>
      </c>
      <c r="W143" s="275">
        <f t="shared" si="36"/>
        <v>-2291.3018622473337</v>
      </c>
      <c r="X143" s="275">
        <f t="shared" si="36"/>
        <v>-2314.2148808698075</v>
      </c>
      <c r="Y143" s="275">
        <f t="shared" si="36"/>
        <v>-2337.3570296785056</v>
      </c>
      <c r="Z143" s="275">
        <f t="shared" si="36"/>
        <v>-2360.7305999752907</v>
      </c>
      <c r="AA143" s="275">
        <f t="shared" si="36"/>
        <v>-2384.3379059750432</v>
      </c>
      <c r="AB143" s="275">
        <f t="shared" si="36"/>
        <v>-2408.1812850347937</v>
      </c>
      <c r="AC143" s="288">
        <f t="shared" si="36"/>
        <v>-2432.2630978851416</v>
      </c>
      <c r="AD143" s="369">
        <f t="shared" si="32"/>
        <v>-43806.443177495166</v>
      </c>
    </row>
    <row r="144" spans="1:30" s="53" customFormat="1" ht="12">
      <c r="A144" s="44"/>
      <c r="B144" s="70" t="s">
        <v>462</v>
      </c>
      <c r="C144" s="78" t="s">
        <v>486</v>
      </c>
      <c r="D144" s="273">
        <f>D135-D136-D139</f>
        <v>5.8860036870687518</v>
      </c>
      <c r="E144" s="236"/>
      <c r="F144" s="275">
        <f t="shared" ref="F144:AC144" si="37">$D144*F112</f>
        <v>0</v>
      </c>
      <c r="G144" s="275">
        <f t="shared" si="37"/>
        <v>0</v>
      </c>
      <c r="H144" s="275">
        <f t="shared" si="37"/>
        <v>0</v>
      </c>
      <c r="I144" s="275">
        <f t="shared" si="37"/>
        <v>0</v>
      </c>
      <c r="J144" s="275">
        <f t="shared" si="37"/>
        <v>99326.312219285188</v>
      </c>
      <c r="K144" s="275">
        <f t="shared" si="37"/>
        <v>135617.20370236845</v>
      </c>
      <c r="L144" s="275">
        <f t="shared" si="37"/>
        <v>136973.37573939216</v>
      </c>
      <c r="M144" s="275">
        <f t="shared" si="37"/>
        <v>138343.10949678608</v>
      </c>
      <c r="N144" s="275">
        <f t="shared" si="37"/>
        <v>139726.54059175393</v>
      </c>
      <c r="O144" s="275">
        <f t="shared" si="37"/>
        <v>141123.80599767144</v>
      </c>
      <c r="P144" s="275">
        <f t="shared" si="37"/>
        <v>142535.04405764819</v>
      </c>
      <c r="Q144" s="275">
        <f t="shared" si="37"/>
        <v>143960.39449822469</v>
      </c>
      <c r="R144" s="275">
        <f t="shared" si="37"/>
        <v>145399.99844320692</v>
      </c>
      <c r="S144" s="275">
        <f t="shared" si="37"/>
        <v>146853.99842763899</v>
      </c>
      <c r="T144" s="275">
        <f t="shared" si="37"/>
        <v>148322.53841191539</v>
      </c>
      <c r="U144" s="275">
        <f t="shared" si="37"/>
        <v>149805.76379603453</v>
      </c>
      <c r="V144" s="275">
        <f t="shared" si="37"/>
        <v>151303.82143399489</v>
      </c>
      <c r="W144" s="275">
        <f t="shared" si="37"/>
        <v>152816.85964833482</v>
      </c>
      <c r="X144" s="275">
        <f t="shared" si="37"/>
        <v>154345.02824481818</v>
      </c>
      <c r="Y144" s="275">
        <f t="shared" si="37"/>
        <v>155888.47852726636</v>
      </c>
      <c r="Z144" s="275">
        <f t="shared" si="37"/>
        <v>157447.36331253903</v>
      </c>
      <c r="AA144" s="275">
        <f t="shared" si="37"/>
        <v>159021.83694566443</v>
      </c>
      <c r="AB144" s="275">
        <f t="shared" si="37"/>
        <v>160612.05531512105</v>
      </c>
      <c r="AC144" s="288">
        <f t="shared" si="37"/>
        <v>162218.17586827229</v>
      </c>
      <c r="AD144" s="369">
        <f t="shared" si="32"/>
        <v>2921641.7046779376</v>
      </c>
    </row>
    <row r="145" spans="1:30" s="53" customFormat="1" ht="12">
      <c r="A145" s="44"/>
      <c r="B145" s="70"/>
      <c r="C145" s="62" t="s">
        <v>611</v>
      </c>
      <c r="D145" s="273"/>
      <c r="E145" s="236"/>
      <c r="F145" s="309">
        <f t="shared" ref="F145:AC145" si="38">SUM(F140:F144)</f>
        <v>0</v>
      </c>
      <c r="G145" s="309">
        <f t="shared" si="38"/>
        <v>0</v>
      </c>
      <c r="H145" s="309">
        <f t="shared" si="38"/>
        <v>0</v>
      </c>
      <c r="I145" s="309">
        <f t="shared" si="38"/>
        <v>0</v>
      </c>
      <c r="J145" s="309">
        <f t="shared" si="38"/>
        <v>157912.20816583911</v>
      </c>
      <c r="K145" s="309">
        <f t="shared" si="38"/>
        <v>215608.65014939476</v>
      </c>
      <c r="L145" s="309">
        <f t="shared" si="38"/>
        <v>217764.73665088875</v>
      </c>
      <c r="M145" s="309">
        <f t="shared" si="38"/>
        <v>219942.38401739765</v>
      </c>
      <c r="N145" s="309">
        <f t="shared" si="38"/>
        <v>222141.80785757158</v>
      </c>
      <c r="O145" s="309">
        <f t="shared" si="38"/>
        <v>224363.22593614727</v>
      </c>
      <c r="P145" s="309">
        <f t="shared" si="38"/>
        <v>226606.85819550877</v>
      </c>
      <c r="Q145" s="309">
        <f t="shared" si="38"/>
        <v>228872.9267774639</v>
      </c>
      <c r="R145" s="309">
        <f t="shared" si="38"/>
        <v>231161.65604523852</v>
      </c>
      <c r="S145" s="309">
        <f t="shared" si="38"/>
        <v>233473.27260569093</v>
      </c>
      <c r="T145" s="309">
        <f t="shared" si="38"/>
        <v>235808.00533174782</v>
      </c>
      <c r="U145" s="309">
        <f t="shared" si="38"/>
        <v>238166.08538506529</v>
      </c>
      <c r="V145" s="309">
        <f t="shared" si="38"/>
        <v>240547.74623891598</v>
      </c>
      <c r="W145" s="309">
        <f t="shared" si="38"/>
        <v>242953.22370130511</v>
      </c>
      <c r="X145" s="309">
        <f t="shared" si="38"/>
        <v>245382.75593831815</v>
      </c>
      <c r="Y145" s="309">
        <f t="shared" si="38"/>
        <v>247836.58349770133</v>
      </c>
      <c r="Z145" s="309">
        <f t="shared" si="38"/>
        <v>250314.94933267837</v>
      </c>
      <c r="AA145" s="309">
        <f t="shared" si="38"/>
        <v>252818.09882600515</v>
      </c>
      <c r="AB145" s="309">
        <f t="shared" si="38"/>
        <v>255346.2798142652</v>
      </c>
      <c r="AC145" s="340">
        <f t="shared" si="38"/>
        <v>257899.74261240786</v>
      </c>
      <c r="AD145" s="370">
        <f t="shared" si="32"/>
        <v>4644921.1970795514</v>
      </c>
    </row>
    <row r="146" spans="1:30" s="5" customFormat="1" ht="12">
      <c r="A146" s="58"/>
      <c r="B146" s="58"/>
      <c r="D146" s="231"/>
      <c r="E146" s="239"/>
      <c r="F146" s="88"/>
      <c r="G146" s="88"/>
      <c r="H146" s="88"/>
      <c r="I146" s="88"/>
      <c r="J146" s="88"/>
      <c r="K146" s="88"/>
      <c r="L146" s="88"/>
      <c r="M146" s="88"/>
      <c r="N146" s="88"/>
      <c r="O146" s="88"/>
      <c r="P146" s="88"/>
      <c r="Q146" s="88"/>
      <c r="R146" s="88"/>
      <c r="S146" s="88"/>
      <c r="T146" s="88"/>
      <c r="U146" s="88"/>
      <c r="V146" s="88"/>
      <c r="W146" s="88"/>
      <c r="X146" s="88"/>
      <c r="Y146" s="88"/>
      <c r="AC146" s="289"/>
      <c r="AD146" s="375">
        <f t="shared" si="32"/>
        <v>0</v>
      </c>
    </row>
    <row r="147" spans="1:30" s="70" customFormat="1" ht="12">
      <c r="A147" s="55"/>
      <c r="B147" s="55"/>
      <c r="C147" s="62"/>
      <c r="D147" s="229"/>
      <c r="E147" s="240"/>
      <c r="F147" s="55"/>
      <c r="G147" s="67"/>
      <c r="H147" s="53"/>
      <c r="I147" s="53"/>
      <c r="J147" s="53"/>
      <c r="K147" s="53"/>
      <c r="L147" s="53"/>
      <c r="M147" s="53"/>
      <c r="N147" s="53"/>
      <c r="O147" s="53"/>
      <c r="P147" s="53"/>
      <c r="Q147" s="53"/>
      <c r="R147" s="53"/>
      <c r="S147" s="53"/>
      <c r="T147" s="53"/>
      <c r="U147" s="53"/>
      <c r="AC147" s="290"/>
      <c r="AD147" s="376">
        <f t="shared" si="32"/>
        <v>0</v>
      </c>
    </row>
    <row r="148" spans="1:30" s="70" customFormat="1" ht="12">
      <c r="A148" s="55"/>
      <c r="B148" s="5" t="s">
        <v>368</v>
      </c>
      <c r="C148" s="45"/>
      <c r="D148" s="229"/>
      <c r="E148" s="236"/>
      <c r="G148" s="67"/>
      <c r="H148" s="53"/>
      <c r="I148" s="53"/>
      <c r="J148" s="53"/>
      <c r="K148" s="53"/>
      <c r="L148" s="53"/>
      <c r="M148" s="53"/>
      <c r="N148" s="53"/>
      <c r="O148" s="53"/>
      <c r="P148" s="53"/>
      <c r="Q148" s="53"/>
      <c r="R148" s="53"/>
      <c r="S148" s="53"/>
      <c r="T148" s="53"/>
      <c r="U148" s="53"/>
      <c r="AC148" s="290"/>
      <c r="AD148" s="376">
        <f t="shared" si="32"/>
        <v>0</v>
      </c>
    </row>
    <row r="149" spans="1:30" s="70" customFormat="1" ht="12">
      <c r="A149" s="55"/>
      <c r="B149" s="70" t="s">
        <v>366</v>
      </c>
      <c r="C149" s="70" t="s">
        <v>366</v>
      </c>
      <c r="D149" s="229"/>
      <c r="E149" s="236"/>
      <c r="F149" s="269">
        <f>F29</f>
        <v>0</v>
      </c>
      <c r="G149" s="269">
        <f t="shared" ref="G149:AC149" si="39">G29</f>
        <v>0</v>
      </c>
      <c r="H149" s="269">
        <f t="shared" si="39"/>
        <v>0</v>
      </c>
      <c r="I149" s="269">
        <f t="shared" si="39"/>
        <v>0</v>
      </c>
      <c r="J149" s="269">
        <f t="shared" si="39"/>
        <v>1831.6613099196252</v>
      </c>
      <c r="K149" s="269">
        <f t="shared" si="39"/>
        <v>2533.1143251664439</v>
      </c>
      <c r="L149" s="269">
        <f t="shared" si="39"/>
        <v>2627.3968403491394</v>
      </c>
      <c r="M149" s="269">
        <f t="shared" si="39"/>
        <v>2725.1885507469347</v>
      </c>
      <c r="N149" s="269">
        <f t="shared" si="39"/>
        <v>2826.6200686057359</v>
      </c>
      <c r="O149" s="269">
        <f t="shared" si="39"/>
        <v>2828.7117674565038</v>
      </c>
      <c r="P149" s="269">
        <f t="shared" si="39"/>
        <v>2830.8050141644217</v>
      </c>
      <c r="Q149" s="269">
        <f t="shared" si="39"/>
        <v>2832.899809874903</v>
      </c>
      <c r="R149" s="269">
        <f t="shared" si="39"/>
        <v>2834.9961557342103</v>
      </c>
      <c r="S149" s="269">
        <f t="shared" si="39"/>
        <v>2837.0940528894535</v>
      </c>
      <c r="T149" s="269">
        <f t="shared" si="39"/>
        <v>2839.1935024885915</v>
      </c>
      <c r="U149" s="269">
        <f t="shared" si="39"/>
        <v>2841.2945056804333</v>
      </c>
      <c r="V149" s="269">
        <f t="shared" si="39"/>
        <v>2843.3970636146364</v>
      </c>
      <c r="W149" s="269">
        <f t="shared" si="39"/>
        <v>2845.5011774417108</v>
      </c>
      <c r="X149" s="269">
        <f t="shared" si="39"/>
        <v>2847.6068483130175</v>
      </c>
      <c r="Y149" s="269">
        <f t="shared" si="39"/>
        <v>2849.7140773807696</v>
      </c>
      <c r="Z149" s="269">
        <f t="shared" si="39"/>
        <v>2851.8228657980312</v>
      </c>
      <c r="AA149" s="269">
        <f t="shared" si="39"/>
        <v>2853.9332147187215</v>
      </c>
      <c r="AB149" s="269">
        <f t="shared" si="39"/>
        <v>2856.0451252976136</v>
      </c>
      <c r="AC149" s="291">
        <f t="shared" si="39"/>
        <v>2858.1585986903333</v>
      </c>
      <c r="AD149" s="377">
        <f t="shared" si="32"/>
        <v>55195.154874331223</v>
      </c>
    </row>
    <row r="150" spans="1:30" s="70" customFormat="1" ht="12">
      <c r="A150" s="55"/>
      <c r="B150" s="53"/>
      <c r="C150" s="63" t="s">
        <v>131</v>
      </c>
      <c r="D150" s="229"/>
      <c r="E150" s="236"/>
      <c r="F150" s="45"/>
      <c r="G150" s="67"/>
      <c r="H150" s="53"/>
      <c r="I150" s="53"/>
      <c r="J150" s="53"/>
      <c r="K150" s="53"/>
      <c r="L150" s="53"/>
      <c r="M150" s="53"/>
      <c r="N150" s="53"/>
      <c r="O150" s="53"/>
      <c r="P150" s="53"/>
      <c r="Q150" s="53"/>
      <c r="R150" s="53"/>
      <c r="S150" s="53"/>
      <c r="T150" s="53"/>
      <c r="U150" s="53"/>
      <c r="AC150" s="290"/>
      <c r="AD150" s="376">
        <f t="shared" si="32"/>
        <v>0</v>
      </c>
    </row>
    <row r="151" spans="1:30" s="70" customFormat="1" ht="12">
      <c r="A151" s="55"/>
      <c r="B151" s="53"/>
      <c r="C151" s="245" t="s">
        <v>428</v>
      </c>
      <c r="D151" s="489">
        <f>(1500/5280)/4</f>
        <v>7.1022727272727279E-2</v>
      </c>
      <c r="E151" s="236"/>
      <c r="F151" s="45"/>
      <c r="G151" s="67"/>
      <c r="H151" s="53"/>
      <c r="I151" s="53"/>
      <c r="J151" s="53"/>
      <c r="K151" s="53"/>
      <c r="L151" s="53"/>
      <c r="M151" s="53"/>
      <c r="N151" s="53"/>
      <c r="O151" s="53"/>
      <c r="P151" s="53"/>
      <c r="Q151" s="53"/>
      <c r="R151" s="53"/>
      <c r="S151" s="53"/>
      <c r="T151" s="53"/>
      <c r="U151" s="53"/>
      <c r="AC151" s="290"/>
      <c r="AD151" s="376">
        <f t="shared" si="32"/>
        <v>0</v>
      </c>
    </row>
    <row r="152" spans="1:30" s="70" customFormat="1" ht="12">
      <c r="A152" s="55"/>
      <c r="B152" s="53"/>
      <c r="C152" s="243" t="s">
        <v>432</v>
      </c>
      <c r="D152" s="280">
        <f>'Mode Operating Assumptions'!C74</f>
        <v>27.82</v>
      </c>
      <c r="E152" s="236"/>
      <c r="F152" s="45"/>
      <c r="G152" s="67"/>
      <c r="H152" s="53"/>
      <c r="I152" s="53"/>
      <c r="J152" s="53"/>
      <c r="K152" s="53"/>
      <c r="L152" s="53"/>
      <c r="M152" s="53"/>
      <c r="N152" s="53"/>
      <c r="O152" s="53"/>
      <c r="P152" s="53"/>
      <c r="Q152" s="53"/>
      <c r="R152" s="53"/>
      <c r="S152" s="53"/>
      <c r="T152" s="53"/>
      <c r="U152" s="53"/>
      <c r="AC152" s="290"/>
      <c r="AD152" s="376">
        <f t="shared" si="32"/>
        <v>0</v>
      </c>
    </row>
    <row r="153" spans="1:30" s="70" customFormat="1" ht="12">
      <c r="A153" s="55"/>
      <c r="B153" s="53"/>
      <c r="C153" s="62" t="s">
        <v>429</v>
      </c>
      <c r="D153" s="229"/>
      <c r="E153" s="236"/>
      <c r="F153" s="305">
        <f>$D$151*$D$152*F149</f>
        <v>0</v>
      </c>
      <c r="G153" s="305">
        <f t="shared" ref="G153:AC153" si="40">$D$151*$D$152*G149</f>
        <v>0</v>
      </c>
      <c r="H153" s="305">
        <f t="shared" si="40"/>
        <v>0</v>
      </c>
      <c r="I153" s="305">
        <f t="shared" si="40"/>
        <v>0</v>
      </c>
      <c r="J153" s="305">
        <f t="shared" si="40"/>
        <v>3619.0921620713052</v>
      </c>
      <c r="K153" s="305">
        <f t="shared" si="40"/>
        <v>5005.05969645813</v>
      </c>
      <c r="L153" s="305">
        <f t="shared" si="40"/>
        <v>5191.3480183603033</v>
      </c>
      <c r="M153" s="305">
        <f t="shared" si="40"/>
        <v>5384.5699916036738</v>
      </c>
      <c r="N153" s="305">
        <f t="shared" si="40"/>
        <v>5584.9836866911637</v>
      </c>
      <c r="O153" s="305">
        <f t="shared" si="40"/>
        <v>5589.1165746193146</v>
      </c>
      <c r="P153" s="305">
        <f t="shared" si="40"/>
        <v>5593.2525208845327</v>
      </c>
      <c r="Q153" s="305">
        <f t="shared" si="40"/>
        <v>5597.3915277499864</v>
      </c>
      <c r="R153" s="305">
        <f t="shared" si="40"/>
        <v>5601.5335974805212</v>
      </c>
      <c r="S153" s="305">
        <f t="shared" si="40"/>
        <v>5605.6787323426561</v>
      </c>
      <c r="T153" s="305">
        <f t="shared" si="40"/>
        <v>5609.82693460459</v>
      </c>
      <c r="U153" s="305">
        <f t="shared" si="40"/>
        <v>5613.9782065361978</v>
      </c>
      <c r="V153" s="305">
        <f t="shared" si="40"/>
        <v>5618.1325504090337</v>
      </c>
      <c r="W153" s="305">
        <f t="shared" si="40"/>
        <v>5622.289968496335</v>
      </c>
      <c r="X153" s="305">
        <f t="shared" si="40"/>
        <v>5626.4504630730225</v>
      </c>
      <c r="Y153" s="305">
        <f t="shared" si="40"/>
        <v>5630.6140364156972</v>
      </c>
      <c r="Z153" s="305">
        <f t="shared" si="40"/>
        <v>5634.780690802645</v>
      </c>
      <c r="AA153" s="305">
        <f t="shared" si="40"/>
        <v>5638.9504285138382</v>
      </c>
      <c r="AB153" s="305">
        <f t="shared" si="40"/>
        <v>5643.1232518309389</v>
      </c>
      <c r="AC153" s="306">
        <f t="shared" si="40"/>
        <v>5647.2991630372926</v>
      </c>
      <c r="AD153" s="372">
        <f t="shared" si="32"/>
        <v>109057.47220198117</v>
      </c>
    </row>
    <row r="154" spans="1:30" s="70" customFormat="1" ht="12">
      <c r="A154" s="55"/>
      <c r="B154" s="44"/>
      <c r="C154" s="53"/>
      <c r="D154" s="229"/>
      <c r="E154" s="236"/>
      <c r="F154" s="53"/>
      <c r="G154" s="67"/>
      <c r="H154" s="53"/>
      <c r="I154" s="53"/>
      <c r="J154" s="53"/>
      <c r="K154" s="53"/>
      <c r="L154" s="53"/>
      <c r="M154" s="53"/>
      <c r="N154" s="53"/>
      <c r="O154" s="53"/>
      <c r="P154" s="53"/>
      <c r="Q154" s="53"/>
      <c r="R154" s="53"/>
      <c r="S154" s="53"/>
      <c r="T154" s="53"/>
      <c r="U154" s="53"/>
      <c r="AC154" s="290"/>
      <c r="AD154" s="376">
        <f t="shared" si="32"/>
        <v>0</v>
      </c>
    </row>
    <row r="155" spans="1:30" s="70" customFormat="1" ht="12">
      <c r="A155" s="55"/>
      <c r="B155" s="70" t="s">
        <v>415</v>
      </c>
      <c r="C155" s="54" t="s">
        <v>434</v>
      </c>
      <c r="D155" s="229"/>
      <c r="E155" s="236"/>
      <c r="F155" s="263">
        <f>F30</f>
        <v>0</v>
      </c>
      <c r="G155" s="263">
        <f t="shared" ref="G155:AC155" si="41">G30</f>
        <v>0</v>
      </c>
      <c r="H155" s="263">
        <f t="shared" si="41"/>
        <v>0</v>
      </c>
      <c r="I155" s="263">
        <f t="shared" si="41"/>
        <v>0</v>
      </c>
      <c r="J155" s="263">
        <f t="shared" si="41"/>
        <v>457.9153274799063</v>
      </c>
      <c r="K155" s="263">
        <f t="shared" si="41"/>
        <v>633.27858129161098</v>
      </c>
      <c r="L155" s="263">
        <f t="shared" si="41"/>
        <v>656.84921008728486</v>
      </c>
      <c r="M155" s="263">
        <f t="shared" si="41"/>
        <v>681.29713768673366</v>
      </c>
      <c r="N155" s="263">
        <f t="shared" si="41"/>
        <v>706.65501715143398</v>
      </c>
      <c r="O155" s="263">
        <f t="shared" si="41"/>
        <v>707.17794186412596</v>
      </c>
      <c r="P155" s="263">
        <f t="shared" si="41"/>
        <v>707.70125354110542</v>
      </c>
      <c r="Q155" s="263">
        <f t="shared" si="41"/>
        <v>708.22495246872575</v>
      </c>
      <c r="R155" s="263">
        <f t="shared" si="41"/>
        <v>708.74903893355258</v>
      </c>
      <c r="S155" s="263">
        <f t="shared" si="41"/>
        <v>709.27351322236336</v>
      </c>
      <c r="T155" s="263">
        <f t="shared" si="41"/>
        <v>709.79837562214789</v>
      </c>
      <c r="U155" s="263">
        <f t="shared" si="41"/>
        <v>710.32362642010833</v>
      </c>
      <c r="V155" s="263">
        <f t="shared" si="41"/>
        <v>710.8492659036591</v>
      </c>
      <c r="W155" s="263">
        <f t="shared" si="41"/>
        <v>711.37529436042769</v>
      </c>
      <c r="X155" s="263">
        <f t="shared" si="41"/>
        <v>711.90171207825438</v>
      </c>
      <c r="Y155" s="263">
        <f t="shared" si="41"/>
        <v>712.4285193451924</v>
      </c>
      <c r="Z155" s="263">
        <f t="shared" si="41"/>
        <v>712.9557164495078</v>
      </c>
      <c r="AA155" s="263">
        <f t="shared" si="41"/>
        <v>713.48330367968038</v>
      </c>
      <c r="AB155" s="263">
        <f t="shared" si="41"/>
        <v>714.0112813244034</v>
      </c>
      <c r="AC155" s="285">
        <f t="shared" si="41"/>
        <v>714.53964967258332</v>
      </c>
      <c r="AD155" s="363">
        <f t="shared" si="32"/>
        <v>13798.788718582806</v>
      </c>
    </row>
    <row r="156" spans="1:30" s="70" customFormat="1" ht="12">
      <c r="A156" s="55"/>
      <c r="C156" s="63" t="s">
        <v>131</v>
      </c>
      <c r="D156" s="229"/>
      <c r="E156" s="236"/>
      <c r="F156" s="45"/>
      <c r="G156" s="67"/>
      <c r="H156" s="45"/>
      <c r="I156" s="45"/>
      <c r="J156" s="45"/>
      <c r="K156" s="45"/>
      <c r="L156" s="45"/>
      <c r="M156" s="45"/>
      <c r="N156" s="45"/>
      <c r="O156" s="45"/>
      <c r="P156" s="45"/>
      <c r="Q156" s="45"/>
      <c r="R156" s="45"/>
      <c r="S156" s="45"/>
      <c r="T156" s="45"/>
      <c r="U156" s="45"/>
      <c r="V156" s="55"/>
      <c r="W156" s="55"/>
      <c r="X156" s="55"/>
      <c r="Y156" s="55"/>
      <c r="Z156" s="55"/>
      <c r="AA156" s="55"/>
      <c r="AB156" s="55"/>
      <c r="AC156" s="290"/>
      <c r="AD156" s="376">
        <f t="shared" si="32"/>
        <v>0</v>
      </c>
    </row>
    <row r="157" spans="1:30" s="70" customFormat="1" ht="12">
      <c r="A157" s="55"/>
      <c r="C157" s="243" t="s">
        <v>403</v>
      </c>
      <c r="D157" s="229"/>
      <c r="E157" s="236"/>
      <c r="F157" s="318">
        <f>'Mode Operating Assumptions'!D66</f>
        <v>0.55766946452803934</v>
      </c>
      <c r="G157" s="318">
        <f>'Mode Operating Assumptions'!E66</f>
        <v>0.55872381266143489</v>
      </c>
      <c r="H157" s="318">
        <f>'Mode Operating Assumptions'!F66</f>
        <v>0.55978541190494846</v>
      </c>
      <c r="I157" s="318">
        <f>'Mode Operating Assumptions'!G66</f>
        <v>0.56085433731920831</v>
      </c>
      <c r="J157" s="318">
        <f>'Mode Operating Assumptions'!H66</f>
        <v>0.56193066500442701</v>
      </c>
      <c r="K157" s="318">
        <f>'Mode Operating Assumptions'!I66</f>
        <v>0.56301447211846201</v>
      </c>
      <c r="L157" s="318">
        <f>'Mode Operating Assumptions'!J66</f>
        <v>0.56410583689525362</v>
      </c>
      <c r="M157" s="318">
        <f>'Mode Operating Assumptions'!K66</f>
        <v>0.5652048386636499</v>
      </c>
      <c r="N157" s="318">
        <f>'Mode Operating Assumptions'!L66</f>
        <v>0.56631155786662835</v>
      </c>
      <c r="O157" s="318">
        <f>'Mode Operating Assumptions'!M66</f>
        <v>0.56742607608092421</v>
      </c>
      <c r="P157" s="318">
        <f>'Mode Operating Assumptions'!N66</f>
        <v>0.56854847603707515</v>
      </c>
      <c r="Q157" s="318">
        <f>'Mode Operating Assumptions'!O66</f>
        <v>0.56967884163989191</v>
      </c>
      <c r="R157" s="318">
        <f>'Mode Operating Assumptions'!P66</f>
        <v>0.57081725798936778</v>
      </c>
      <c r="S157" s="318">
        <f>'Mode Operating Assumptions'!Q66</f>
        <v>0.57196381140203456</v>
      </c>
      <c r="T157" s="318">
        <f>'Mode Operating Assumptions'!R66</f>
        <v>0.57311858943278038</v>
      </c>
      <c r="U157" s="318">
        <f>'Mode Operating Assumptions'!S66</f>
        <v>0.57428168089713683</v>
      </c>
      <c r="V157" s="318">
        <f>'Mode Operating Assumptions'!T66</f>
        <v>0.57545317589404976</v>
      </c>
      <c r="W157" s="318">
        <f>'Mode Operating Assumptions'!U66</f>
        <v>0.5766331658291457</v>
      </c>
      <c r="X157" s="318">
        <f>'Mode Operating Assumptions'!V66</f>
        <v>0.57782174343850667</v>
      </c>
      <c r="Y157" s="318">
        <f>'Mode Operating Assumptions'!W66</f>
        <v>0.57901900281296448</v>
      </c>
      <c r="Z157" s="318">
        <f>'Mode Operating Assumptions'!X66</f>
        <v>0.58022503942293058</v>
      </c>
      <c r="AA157" s="318">
        <f>'Mode Operating Assumptions'!Y66</f>
        <v>0.58143995014377425</v>
      </c>
      <c r="AB157" s="318">
        <f>'Mode Operating Assumptions'!Z66</f>
        <v>0.58266383328176174</v>
      </c>
      <c r="AC157" s="321">
        <f>'Mode Operating Assumptions'!AA66</f>
        <v>0.58389678860057326</v>
      </c>
      <c r="AD157" s="368">
        <f t="shared" si="32"/>
        <v>13.690587829864969</v>
      </c>
    </row>
    <row r="158" spans="1:30" s="70" customFormat="1" ht="12">
      <c r="A158" s="55"/>
      <c r="C158" s="243" t="s">
        <v>420</v>
      </c>
      <c r="D158" s="489">
        <f>'Mode Operating Assumptions'!C152</f>
        <v>0.38127571701364549</v>
      </c>
      <c r="E158" s="236"/>
      <c r="F158" s="45"/>
      <c r="G158" s="67"/>
      <c r="H158" s="45"/>
      <c r="I158" s="45"/>
      <c r="J158" s="45"/>
      <c r="K158" s="45"/>
      <c r="L158" s="45"/>
      <c r="M158" s="45"/>
      <c r="N158" s="45"/>
      <c r="O158" s="45"/>
      <c r="P158" s="45"/>
      <c r="Q158" s="45"/>
      <c r="R158" s="45"/>
      <c r="S158" s="45"/>
      <c r="T158" s="45"/>
      <c r="U158" s="45"/>
      <c r="V158" s="55"/>
      <c r="W158" s="55"/>
      <c r="X158" s="55"/>
      <c r="Y158" s="55"/>
      <c r="Z158" s="55"/>
      <c r="AA158" s="55"/>
      <c r="AB158" s="55"/>
      <c r="AC158" s="290"/>
      <c r="AD158" s="376">
        <f t="shared" si="32"/>
        <v>0</v>
      </c>
    </row>
    <row r="159" spans="1:30" s="70" customFormat="1" ht="12">
      <c r="A159" s="55"/>
      <c r="C159" s="243" t="s">
        <v>447</v>
      </c>
      <c r="D159" s="229">
        <f>'Mode Operating Assumptions'!C73</f>
        <v>0.2</v>
      </c>
      <c r="E159" s="236"/>
      <c r="F159" s="45"/>
      <c r="G159" s="67"/>
      <c r="H159" s="45"/>
      <c r="I159" s="45"/>
      <c r="J159" s="45"/>
      <c r="K159" s="45"/>
      <c r="L159" s="45"/>
      <c r="M159" s="45"/>
      <c r="N159" s="45"/>
      <c r="O159" s="45"/>
      <c r="P159" s="45"/>
      <c r="Q159" s="45"/>
      <c r="R159" s="45"/>
      <c r="S159" s="45"/>
      <c r="T159" s="45"/>
      <c r="U159" s="45"/>
      <c r="V159" s="55"/>
      <c r="W159" s="55"/>
      <c r="X159" s="55"/>
      <c r="Y159" s="55"/>
      <c r="Z159" s="55"/>
      <c r="AA159" s="55"/>
      <c r="AB159" s="55"/>
      <c r="AC159" s="290"/>
      <c r="AD159" s="376">
        <f t="shared" si="32"/>
        <v>0</v>
      </c>
    </row>
    <row r="160" spans="1:30" s="70" customFormat="1" ht="12">
      <c r="A160" s="55"/>
      <c r="B160" s="53"/>
      <c r="C160" s="243" t="s">
        <v>400</v>
      </c>
      <c r="D160" s="273">
        <f>'Mode Operating Assumptions'!C30</f>
        <v>13.91</v>
      </c>
      <c r="E160" s="236"/>
      <c r="F160" s="45"/>
      <c r="G160" s="67"/>
      <c r="H160" s="45"/>
      <c r="I160" s="45"/>
      <c r="J160" s="45"/>
      <c r="K160" s="45"/>
      <c r="L160" s="45"/>
      <c r="M160" s="45"/>
      <c r="N160" s="45"/>
      <c r="O160" s="45"/>
      <c r="P160" s="45"/>
      <c r="Q160" s="45"/>
      <c r="R160" s="45"/>
      <c r="S160" s="45"/>
      <c r="T160" s="45"/>
      <c r="U160" s="45"/>
      <c r="V160" s="55"/>
      <c r="W160" s="55"/>
      <c r="X160" s="55"/>
      <c r="Y160" s="55"/>
      <c r="Z160" s="55"/>
      <c r="AA160" s="55"/>
      <c r="AB160" s="55"/>
      <c r="AC160" s="290"/>
      <c r="AD160" s="376">
        <f t="shared" si="32"/>
        <v>0</v>
      </c>
    </row>
    <row r="161" spans="1:30" s="70" customFormat="1" ht="12">
      <c r="A161" s="55"/>
      <c r="C161" s="243" t="s">
        <v>401</v>
      </c>
      <c r="D161" s="273">
        <f>'Mode Operating Assumptions'!C153</f>
        <v>13.91</v>
      </c>
      <c r="E161" s="236"/>
      <c r="F161" s="45"/>
      <c r="G161" s="67"/>
      <c r="H161" s="45"/>
      <c r="I161" s="45"/>
      <c r="J161" s="45"/>
      <c r="K161" s="45"/>
      <c r="L161" s="45"/>
      <c r="M161" s="45"/>
      <c r="N161" s="45"/>
      <c r="O161" s="45"/>
      <c r="P161" s="45"/>
      <c r="Q161" s="45"/>
      <c r="R161" s="45"/>
      <c r="S161" s="45"/>
      <c r="T161" s="45"/>
      <c r="U161" s="45"/>
      <c r="V161" s="55"/>
      <c r="W161" s="55"/>
      <c r="X161" s="55"/>
      <c r="Y161" s="55"/>
      <c r="Z161" s="55"/>
      <c r="AA161" s="55"/>
      <c r="AB161" s="55"/>
      <c r="AC161" s="290"/>
      <c r="AD161" s="376">
        <f t="shared" si="32"/>
        <v>0</v>
      </c>
    </row>
    <row r="162" spans="1:30" s="70" customFormat="1" ht="12">
      <c r="A162" s="55"/>
      <c r="C162" s="243" t="s">
        <v>432</v>
      </c>
      <c r="D162" s="273">
        <f>D152</f>
        <v>27.82</v>
      </c>
      <c r="E162" s="236"/>
      <c r="F162" s="45"/>
      <c r="G162" s="67"/>
      <c r="H162" s="45"/>
      <c r="I162" s="45"/>
      <c r="J162" s="45"/>
      <c r="K162" s="45"/>
      <c r="L162" s="45"/>
      <c r="M162" s="45"/>
      <c r="N162" s="45"/>
      <c r="O162" s="45"/>
      <c r="P162" s="45"/>
      <c r="Q162" s="45"/>
      <c r="R162" s="45"/>
      <c r="S162" s="45"/>
      <c r="T162" s="45"/>
      <c r="U162" s="45"/>
      <c r="V162" s="55"/>
      <c r="W162" s="55"/>
      <c r="X162" s="55"/>
      <c r="Y162" s="55"/>
      <c r="Z162" s="55"/>
      <c r="AA162" s="55"/>
      <c r="AB162" s="55"/>
      <c r="AC162" s="290"/>
      <c r="AD162" s="376">
        <f t="shared" si="32"/>
        <v>0</v>
      </c>
    </row>
    <row r="163" spans="1:30" s="70" customFormat="1" ht="12">
      <c r="A163" s="55"/>
      <c r="C163" s="78" t="s">
        <v>496</v>
      </c>
      <c r="D163" s="273"/>
      <c r="E163" s="236"/>
      <c r="F163" s="275">
        <f>+(F157*$D$160)-($D$158*$D$161)-($D$159*$D$162)</f>
        <v>-3.1103629720747819</v>
      </c>
      <c r="G163" s="275">
        <f t="shared" ref="G163:AC163" si="42">+(G157*$D$160)-($D$158*$D$161)-($D$159*$D$162)</f>
        <v>-3.095696989539249</v>
      </c>
      <c r="H163" s="275">
        <f t="shared" si="42"/>
        <v>-3.0809301440619752</v>
      </c>
      <c r="I163" s="275">
        <f t="shared" si="42"/>
        <v>-3.0660613915496207</v>
      </c>
      <c r="J163" s="275">
        <f t="shared" si="42"/>
        <v>-3.0510896734482289</v>
      </c>
      <c r="K163" s="275">
        <f t="shared" si="42"/>
        <v>-3.0360139164920019</v>
      </c>
      <c r="L163" s="275">
        <f t="shared" si="42"/>
        <v>-3.0208330324468307</v>
      </c>
      <c r="M163" s="275">
        <f t="shared" si="42"/>
        <v>-3.0055459178484387</v>
      </c>
      <c r="N163" s="275">
        <f t="shared" si="42"/>
        <v>-2.9901514537350087</v>
      </c>
      <c r="O163" s="275">
        <f t="shared" si="42"/>
        <v>-2.9746485053741525</v>
      </c>
      <c r="P163" s="275">
        <f t="shared" si="42"/>
        <v>-2.9590359219840936</v>
      </c>
      <c r="Q163" s="275">
        <f t="shared" si="42"/>
        <v>-2.9433125364489126</v>
      </c>
      <c r="R163" s="275">
        <f t="shared" si="42"/>
        <v>-2.9274771650277032</v>
      </c>
      <c r="S163" s="275">
        <f t="shared" si="42"/>
        <v>-2.9115286070575079</v>
      </c>
      <c r="T163" s="275">
        <f t="shared" si="42"/>
        <v>-2.8954656446498337</v>
      </c>
      <c r="U163" s="275">
        <f t="shared" si="42"/>
        <v>-2.8792870423806356</v>
      </c>
      <c r="V163" s="275">
        <f t="shared" si="42"/>
        <v>-2.8629915469735767</v>
      </c>
      <c r="W163" s="275">
        <f t="shared" si="42"/>
        <v>-2.8465778869763927</v>
      </c>
      <c r="X163" s="275">
        <f t="shared" si="42"/>
        <v>-2.8300447724301812</v>
      </c>
      <c r="Y163" s="275">
        <f t="shared" si="42"/>
        <v>-2.813390894531473</v>
      </c>
      <c r="Z163" s="275">
        <f t="shared" si="42"/>
        <v>-2.7966149252868444</v>
      </c>
      <c r="AA163" s="275">
        <f t="shared" si="42"/>
        <v>-2.7797155171599091</v>
      </c>
      <c r="AB163" s="275">
        <f t="shared" si="42"/>
        <v>-2.7626913027105022</v>
      </c>
      <c r="AC163" s="288">
        <f t="shared" si="42"/>
        <v>-2.7455408942258348</v>
      </c>
      <c r="AD163" s="369">
        <f t="shared" si="32"/>
        <v>-70.385008654413696</v>
      </c>
    </row>
    <row r="164" spans="1:30" s="70" customFormat="1" ht="12">
      <c r="A164" s="55"/>
      <c r="D164" s="229"/>
      <c r="E164" s="236"/>
      <c r="F164" s="275">
        <f>F163*F155</f>
        <v>0</v>
      </c>
      <c r="G164" s="275">
        <f t="shared" ref="G164:AC164" si="43">G163*G155</f>
        <v>0</v>
      </c>
      <c r="H164" s="275">
        <f t="shared" si="43"/>
        <v>0</v>
      </c>
      <c r="I164" s="275">
        <f t="shared" si="43"/>
        <v>0</v>
      </c>
      <c r="J164" s="275">
        <f t="shared" si="43"/>
        <v>-1397.1407269876061</v>
      </c>
      <c r="K164" s="275">
        <f t="shared" si="43"/>
        <v>-1922.6425858176424</v>
      </c>
      <c r="L164" s="275">
        <f t="shared" si="43"/>
        <v>-1984.2317911682781</v>
      </c>
      <c r="M164" s="275">
        <f t="shared" si="43"/>
        <v>-2047.669831016188</v>
      </c>
      <c r="N164" s="275">
        <f t="shared" si="43"/>
        <v>-2113.0055268244978</v>
      </c>
      <c r="O164" s="275">
        <f t="shared" si="43"/>
        <v>-2103.6058077996918</v>
      </c>
      <c r="P164" s="275">
        <f t="shared" si="43"/>
        <v>-2094.1134312613035</v>
      </c>
      <c r="Q164" s="275">
        <f t="shared" si="43"/>
        <v>-2084.5273812271357</v>
      </c>
      <c r="R164" s="275">
        <f t="shared" si="43"/>
        <v>-2074.8466272133055</v>
      </c>
      <c r="S164" s="275">
        <f t="shared" si="43"/>
        <v>-2065.0701239750924</v>
      </c>
      <c r="T164" s="275">
        <f t="shared" si="43"/>
        <v>-2055.1968112421873</v>
      </c>
      <c r="U164" s="275">
        <f t="shared" si="43"/>
        <v>-2045.2256134482411</v>
      </c>
      <c r="V164" s="275">
        <f t="shared" si="43"/>
        <v>-2035.1554394545483</v>
      </c>
      <c r="W164" s="275">
        <f t="shared" si="43"/>
        <v>-2024.9851822677156</v>
      </c>
      <c r="X164" s="275">
        <f t="shared" si="43"/>
        <v>-2014.7137187511598</v>
      </c>
      <c r="Y164" s="275">
        <f t="shared" si="43"/>
        <v>-2004.3399093303037</v>
      </c>
      <c r="Z164" s="275">
        <f t="shared" si="43"/>
        <v>-1993.862597691269</v>
      </c>
      <c r="AA164" s="275">
        <f t="shared" si="43"/>
        <v>-1983.2806104729232</v>
      </c>
      <c r="AB164" s="275">
        <f t="shared" si="43"/>
        <v>-1972.5927569521109</v>
      </c>
      <c r="AC164" s="288">
        <f t="shared" si="43"/>
        <v>-1961.7978287218791</v>
      </c>
      <c r="AD164" s="369">
        <f t="shared" si="32"/>
        <v>-39978.004301623085</v>
      </c>
    </row>
    <row r="165" spans="1:30" s="70" customFormat="1" ht="12">
      <c r="A165" s="55"/>
      <c r="C165" s="62" t="s">
        <v>429</v>
      </c>
      <c r="D165" s="273"/>
      <c r="E165" s="236"/>
      <c r="F165" s="433">
        <f>F164</f>
        <v>0</v>
      </c>
      <c r="G165" s="433">
        <f t="shared" ref="G165:AC165" si="44">G164</f>
        <v>0</v>
      </c>
      <c r="H165" s="433">
        <f t="shared" si="44"/>
        <v>0</v>
      </c>
      <c r="I165" s="433">
        <f t="shared" si="44"/>
        <v>0</v>
      </c>
      <c r="J165" s="433">
        <f t="shared" si="44"/>
        <v>-1397.1407269876061</v>
      </c>
      <c r="K165" s="433">
        <f t="shared" si="44"/>
        <v>-1922.6425858176424</v>
      </c>
      <c r="L165" s="433">
        <f t="shared" si="44"/>
        <v>-1984.2317911682781</v>
      </c>
      <c r="M165" s="433">
        <f t="shared" si="44"/>
        <v>-2047.669831016188</v>
      </c>
      <c r="N165" s="433">
        <f t="shared" si="44"/>
        <v>-2113.0055268244978</v>
      </c>
      <c r="O165" s="433">
        <f t="shared" si="44"/>
        <v>-2103.6058077996918</v>
      </c>
      <c r="P165" s="433">
        <f t="shared" si="44"/>
        <v>-2094.1134312613035</v>
      </c>
      <c r="Q165" s="433">
        <f t="shared" si="44"/>
        <v>-2084.5273812271357</v>
      </c>
      <c r="R165" s="433">
        <f t="shared" si="44"/>
        <v>-2074.8466272133055</v>
      </c>
      <c r="S165" s="433">
        <f t="shared" si="44"/>
        <v>-2065.0701239750924</v>
      </c>
      <c r="T165" s="433">
        <f t="shared" si="44"/>
        <v>-2055.1968112421873</v>
      </c>
      <c r="U165" s="433">
        <f t="shared" si="44"/>
        <v>-2045.2256134482411</v>
      </c>
      <c r="V165" s="433">
        <f t="shared" si="44"/>
        <v>-2035.1554394545483</v>
      </c>
      <c r="W165" s="433">
        <f t="shared" si="44"/>
        <v>-2024.9851822677156</v>
      </c>
      <c r="X165" s="433">
        <f t="shared" si="44"/>
        <v>-2014.7137187511598</v>
      </c>
      <c r="Y165" s="433">
        <f t="shared" si="44"/>
        <v>-2004.3399093303037</v>
      </c>
      <c r="Z165" s="433">
        <f t="shared" si="44"/>
        <v>-1993.862597691269</v>
      </c>
      <c r="AA165" s="433">
        <f t="shared" si="44"/>
        <v>-1983.2806104729232</v>
      </c>
      <c r="AB165" s="433">
        <f t="shared" si="44"/>
        <v>-1972.5927569521109</v>
      </c>
      <c r="AC165" s="434">
        <f t="shared" si="44"/>
        <v>-1961.7978287218791</v>
      </c>
      <c r="AD165" s="435">
        <f t="shared" si="32"/>
        <v>-39978.004301623085</v>
      </c>
    </row>
    <row r="166" spans="1:30" s="70" customFormat="1" ht="12">
      <c r="A166" s="55"/>
      <c r="C166" s="53"/>
      <c r="D166" s="273"/>
      <c r="E166" s="236"/>
      <c r="F166" s="45"/>
      <c r="G166" s="45"/>
      <c r="H166" s="45"/>
      <c r="I166" s="45"/>
      <c r="J166" s="45"/>
      <c r="K166" s="45"/>
      <c r="L166" s="45"/>
      <c r="M166" s="45"/>
      <c r="N166" s="45"/>
      <c r="O166" s="45"/>
      <c r="P166" s="45"/>
      <c r="Q166" s="45"/>
      <c r="R166" s="45"/>
      <c r="S166" s="45"/>
      <c r="T166" s="45"/>
      <c r="U166" s="45"/>
      <c r="V166" s="45"/>
      <c r="W166" s="45"/>
      <c r="X166" s="45"/>
      <c r="Y166" s="45"/>
      <c r="Z166" s="45"/>
      <c r="AA166" s="45"/>
      <c r="AB166" s="45"/>
      <c r="AC166" s="283"/>
      <c r="AD166" s="361">
        <f t="shared" si="32"/>
        <v>0</v>
      </c>
    </row>
    <row r="167" spans="1:30" s="70" customFormat="1" ht="12">
      <c r="A167" s="55"/>
      <c r="C167" s="63" t="s">
        <v>149</v>
      </c>
      <c r="D167" s="273"/>
      <c r="E167" s="236"/>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283"/>
      <c r="AD167" s="361">
        <f t="shared" si="32"/>
        <v>0</v>
      </c>
    </row>
    <row r="168" spans="1:30" s="70" customFormat="1" ht="12">
      <c r="A168" s="55"/>
      <c r="C168" s="243" t="s">
        <v>476</v>
      </c>
      <c r="D168" s="273">
        <f>'Mode Operating Assumptions'!C69</f>
        <v>5.44</v>
      </c>
      <c r="E168" s="236"/>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283"/>
      <c r="AD168" s="361">
        <f t="shared" si="32"/>
        <v>0</v>
      </c>
    </row>
    <row r="169" spans="1:30" s="70" customFormat="1" ht="12">
      <c r="A169" s="55"/>
      <c r="C169" s="244" t="s">
        <v>477</v>
      </c>
      <c r="D169" s="273">
        <f>'Mode Operating Assumptions'!C76</f>
        <v>1.3</v>
      </c>
      <c r="E169" s="236"/>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283"/>
      <c r="AD169" s="361">
        <f t="shared" si="32"/>
        <v>0</v>
      </c>
    </row>
    <row r="170" spans="1:30" s="70" customFormat="1" ht="12">
      <c r="A170" s="55"/>
      <c r="C170" s="243" t="s">
        <v>497</v>
      </c>
      <c r="D170" s="273">
        <f>'Mode Operating Assumptions'!C75</f>
        <v>0.3</v>
      </c>
      <c r="E170" s="236"/>
      <c r="F170" s="45"/>
      <c r="G170" s="45"/>
      <c r="H170" s="45"/>
      <c r="I170" s="45"/>
      <c r="J170" s="45"/>
      <c r="K170" s="45"/>
      <c r="L170" s="45"/>
      <c r="M170" s="45"/>
      <c r="N170" s="45"/>
      <c r="O170" s="45"/>
      <c r="P170" s="45"/>
      <c r="Q170" s="45"/>
      <c r="R170" s="45"/>
      <c r="S170" s="45"/>
      <c r="T170" s="45"/>
      <c r="U170" s="45"/>
      <c r="V170" s="45"/>
      <c r="W170" s="45"/>
      <c r="X170" s="45"/>
      <c r="Y170" s="45"/>
      <c r="Z170" s="45"/>
      <c r="AA170" s="45"/>
      <c r="AB170" s="45"/>
      <c r="AC170" s="283"/>
      <c r="AD170" s="361">
        <f t="shared" si="32"/>
        <v>0</v>
      </c>
    </row>
    <row r="171" spans="1:30" s="70" customFormat="1" ht="12">
      <c r="A171" s="55"/>
      <c r="C171" s="78" t="s">
        <v>498</v>
      </c>
      <c r="D171" s="273">
        <f>+D168-D169-D170</f>
        <v>3.8400000000000007</v>
      </c>
      <c r="E171" s="236"/>
      <c r="F171" s="275">
        <f t="shared" ref="F171:AC171" si="45">$D171*F155</f>
        <v>0</v>
      </c>
      <c r="G171" s="275">
        <f t="shared" si="45"/>
        <v>0</v>
      </c>
      <c r="H171" s="275">
        <f t="shared" si="45"/>
        <v>0</v>
      </c>
      <c r="I171" s="275">
        <f t="shared" si="45"/>
        <v>0</v>
      </c>
      <c r="J171" s="275">
        <f t="shared" si="45"/>
        <v>1758.3948575228405</v>
      </c>
      <c r="K171" s="275">
        <f t="shared" si="45"/>
        <v>2431.7897521597865</v>
      </c>
      <c r="L171" s="275">
        <f t="shared" si="45"/>
        <v>2522.3009667351744</v>
      </c>
      <c r="M171" s="275">
        <f t="shared" si="45"/>
        <v>2616.1810087170579</v>
      </c>
      <c r="N171" s="275">
        <f t="shared" si="45"/>
        <v>2713.555265861507</v>
      </c>
      <c r="O171" s="275">
        <f t="shared" si="45"/>
        <v>2715.5632967582442</v>
      </c>
      <c r="P171" s="275">
        <f t="shared" si="45"/>
        <v>2717.5728135978452</v>
      </c>
      <c r="Q171" s="275">
        <f t="shared" si="45"/>
        <v>2719.5838174799073</v>
      </c>
      <c r="R171" s="275">
        <f t="shared" si="45"/>
        <v>2721.5963095048423</v>
      </c>
      <c r="S171" s="275">
        <f t="shared" si="45"/>
        <v>2723.6102907738759</v>
      </c>
      <c r="T171" s="275">
        <f t="shared" si="45"/>
        <v>2725.6257623890483</v>
      </c>
      <c r="U171" s="275">
        <f t="shared" si="45"/>
        <v>2727.6427254532164</v>
      </c>
      <c r="V171" s="275">
        <f t="shared" si="45"/>
        <v>2729.6611810700515</v>
      </c>
      <c r="W171" s="275">
        <f t="shared" si="45"/>
        <v>2731.6811303440427</v>
      </c>
      <c r="X171" s="275">
        <f t="shared" si="45"/>
        <v>2733.7025743804975</v>
      </c>
      <c r="Y171" s="275">
        <f t="shared" si="45"/>
        <v>2735.7255142855392</v>
      </c>
      <c r="Z171" s="275">
        <f t="shared" si="45"/>
        <v>2737.7499511661103</v>
      </c>
      <c r="AA171" s="275">
        <f t="shared" si="45"/>
        <v>2739.7758861299731</v>
      </c>
      <c r="AB171" s="275">
        <f t="shared" si="45"/>
        <v>2741.8033202857096</v>
      </c>
      <c r="AC171" s="288">
        <f t="shared" si="45"/>
        <v>2743.8322547427206</v>
      </c>
      <c r="AD171" s="369">
        <f t="shared" si="32"/>
        <v>52987.348679357987</v>
      </c>
    </row>
    <row r="172" spans="1:30" s="70" customFormat="1" ht="12">
      <c r="A172" s="55"/>
      <c r="C172" s="62" t="s">
        <v>430</v>
      </c>
      <c r="D172" s="229"/>
      <c r="E172" s="236"/>
      <c r="F172" s="433">
        <f>F171</f>
        <v>0</v>
      </c>
      <c r="G172" s="433">
        <f t="shared" ref="G172:AC172" si="46">G171</f>
        <v>0</v>
      </c>
      <c r="H172" s="433">
        <f t="shared" si="46"/>
        <v>0</v>
      </c>
      <c r="I172" s="433">
        <f t="shared" si="46"/>
        <v>0</v>
      </c>
      <c r="J172" s="433">
        <f t="shared" si="46"/>
        <v>1758.3948575228405</v>
      </c>
      <c r="K172" s="433">
        <f t="shared" si="46"/>
        <v>2431.7897521597865</v>
      </c>
      <c r="L172" s="433">
        <f t="shared" si="46"/>
        <v>2522.3009667351744</v>
      </c>
      <c r="M172" s="433">
        <f t="shared" si="46"/>
        <v>2616.1810087170579</v>
      </c>
      <c r="N172" s="433">
        <f t="shared" si="46"/>
        <v>2713.555265861507</v>
      </c>
      <c r="O172" s="433">
        <f t="shared" si="46"/>
        <v>2715.5632967582442</v>
      </c>
      <c r="P172" s="433">
        <f t="shared" si="46"/>
        <v>2717.5728135978452</v>
      </c>
      <c r="Q172" s="433">
        <f t="shared" si="46"/>
        <v>2719.5838174799073</v>
      </c>
      <c r="R172" s="433">
        <f t="shared" si="46"/>
        <v>2721.5963095048423</v>
      </c>
      <c r="S172" s="433">
        <f t="shared" si="46"/>
        <v>2723.6102907738759</v>
      </c>
      <c r="T172" s="433">
        <f t="shared" si="46"/>
        <v>2725.6257623890483</v>
      </c>
      <c r="U172" s="433">
        <f t="shared" si="46"/>
        <v>2727.6427254532164</v>
      </c>
      <c r="V172" s="433">
        <f t="shared" si="46"/>
        <v>2729.6611810700515</v>
      </c>
      <c r="W172" s="433">
        <f t="shared" si="46"/>
        <v>2731.6811303440427</v>
      </c>
      <c r="X172" s="433">
        <f t="shared" si="46"/>
        <v>2733.7025743804975</v>
      </c>
      <c r="Y172" s="433">
        <f t="shared" si="46"/>
        <v>2735.7255142855392</v>
      </c>
      <c r="Z172" s="433">
        <f t="shared" si="46"/>
        <v>2737.7499511661103</v>
      </c>
      <c r="AA172" s="433">
        <f t="shared" si="46"/>
        <v>2739.7758861299731</v>
      </c>
      <c r="AB172" s="433">
        <f t="shared" si="46"/>
        <v>2741.8033202857096</v>
      </c>
      <c r="AC172" s="434">
        <f t="shared" si="46"/>
        <v>2743.8322547427206</v>
      </c>
      <c r="AD172" s="435">
        <f t="shared" si="32"/>
        <v>52987.348679357987</v>
      </c>
    </row>
    <row r="173" spans="1:30" s="70" customFormat="1" ht="12">
      <c r="A173" s="55"/>
      <c r="B173" s="55"/>
      <c r="C173" s="62"/>
      <c r="D173" s="229"/>
      <c r="E173" s="240"/>
      <c r="F173" s="55"/>
      <c r="G173" s="67"/>
      <c r="H173" s="53"/>
      <c r="I173" s="53"/>
      <c r="J173" s="53"/>
      <c r="K173" s="53"/>
      <c r="L173" s="53"/>
      <c r="M173" s="53"/>
      <c r="N173" s="53"/>
      <c r="O173" s="53"/>
      <c r="P173" s="53"/>
      <c r="Q173" s="53"/>
      <c r="R173" s="53"/>
      <c r="S173" s="53"/>
      <c r="T173" s="53"/>
      <c r="U173" s="53"/>
      <c r="AC173" s="290"/>
      <c r="AD173" s="376">
        <f t="shared" si="32"/>
        <v>0</v>
      </c>
    </row>
    <row r="174" spans="1:30" s="53" customFormat="1" ht="12">
      <c r="A174" s="64" t="s">
        <v>359</v>
      </c>
      <c r="B174" s="64"/>
      <c r="D174" s="228"/>
      <c r="E174" s="236"/>
      <c r="F174" s="45"/>
      <c r="G174" s="57"/>
      <c r="AC174" s="283"/>
      <c r="AD174" s="361">
        <f t="shared" si="32"/>
        <v>0</v>
      </c>
    </row>
    <row r="175" spans="1:30" s="53" customFormat="1" ht="12">
      <c r="A175" s="64"/>
      <c r="B175" s="64"/>
      <c r="D175" s="228"/>
      <c r="E175" s="236"/>
      <c r="F175" s="45"/>
      <c r="G175" s="57"/>
      <c r="AC175" s="283"/>
      <c r="AD175" s="361">
        <f t="shared" si="32"/>
        <v>0</v>
      </c>
    </row>
    <row r="176" spans="1:30" s="53" customFormat="1" ht="12">
      <c r="A176" s="45"/>
      <c r="B176" s="45"/>
      <c r="C176" s="64" t="s">
        <v>94</v>
      </c>
      <c r="D176" s="228"/>
      <c r="E176" s="236"/>
      <c r="F176" s="45"/>
      <c r="G176" s="57"/>
      <c r="AC176" s="283"/>
      <c r="AD176" s="361">
        <f t="shared" si="32"/>
        <v>0</v>
      </c>
    </row>
    <row r="177" spans="1:30" s="53" customFormat="1" ht="12">
      <c r="A177" s="45"/>
      <c r="B177" s="45"/>
      <c r="C177" s="55" t="s">
        <v>500</v>
      </c>
      <c r="D177" s="279">
        <v>0.5</v>
      </c>
      <c r="E177" s="236"/>
      <c r="F177" s="45"/>
      <c r="G177" s="57"/>
      <c r="AC177" s="283"/>
      <c r="AD177" s="361">
        <f t="shared" si="32"/>
        <v>0</v>
      </c>
    </row>
    <row r="178" spans="1:30" s="53" customFormat="1" ht="12">
      <c r="A178" s="45"/>
      <c r="B178" s="45"/>
      <c r="C178" s="78"/>
      <c r="D178" s="228"/>
      <c r="E178" s="236"/>
      <c r="F178" s="45"/>
      <c r="G178" s="57"/>
      <c r="AC178" s="283"/>
      <c r="AD178" s="361">
        <f t="shared" si="32"/>
        <v>0</v>
      </c>
    </row>
    <row r="179" spans="1:30" s="53" customFormat="1" ht="12">
      <c r="A179" s="44"/>
      <c r="B179" s="5" t="s">
        <v>367</v>
      </c>
      <c r="C179" s="78" t="s">
        <v>418</v>
      </c>
      <c r="D179" s="273"/>
      <c r="E179" s="236"/>
      <c r="F179" s="45">
        <f>F12</f>
        <v>0</v>
      </c>
      <c r="G179" s="45">
        <f t="shared" ref="G179:AC179" si="47">G12</f>
        <v>0</v>
      </c>
      <c r="H179" s="45">
        <f t="shared" si="47"/>
        <v>0</v>
      </c>
      <c r="I179" s="45">
        <f t="shared" si="47"/>
        <v>0</v>
      </c>
      <c r="J179" s="45">
        <f t="shared" si="47"/>
        <v>9945.2500291570286</v>
      </c>
      <c r="K179" s="45">
        <f t="shared" si="47"/>
        <v>13753.882980323002</v>
      </c>
      <c r="L179" s="45">
        <f t="shared" si="47"/>
        <v>14265.802504850624</v>
      </c>
      <c r="M179" s="45">
        <f t="shared" si="47"/>
        <v>14796.775674081167</v>
      </c>
      <c r="N179" s="45">
        <f t="shared" si="47"/>
        <v>15347.511664670468</v>
      </c>
      <c r="O179" s="45">
        <f t="shared" si="47"/>
        <v>15358.868823302322</v>
      </c>
      <c r="P179" s="45">
        <f t="shared" si="47"/>
        <v>15370.234386231568</v>
      </c>
      <c r="Q179" s="45">
        <f t="shared" si="47"/>
        <v>15381.608359677377</v>
      </c>
      <c r="R179" s="45">
        <f t="shared" si="47"/>
        <v>15392.990749863538</v>
      </c>
      <c r="S179" s="45">
        <f t="shared" si="47"/>
        <v>15404.381563018438</v>
      </c>
      <c r="T179" s="45">
        <f t="shared" si="47"/>
        <v>15415.780805375067</v>
      </c>
      <c r="U179" s="45">
        <f t="shared" si="47"/>
        <v>15427.188483171047</v>
      </c>
      <c r="V179" s="45">
        <f t="shared" si="47"/>
        <v>15438.604602648593</v>
      </c>
      <c r="W179" s="45">
        <f t="shared" si="47"/>
        <v>15450.029170054549</v>
      </c>
      <c r="X179" s="45">
        <f t="shared" si="47"/>
        <v>15461.462191640392</v>
      </c>
      <c r="Y179" s="45">
        <f t="shared" si="47"/>
        <v>15472.903673662202</v>
      </c>
      <c r="Z179" s="45">
        <f t="shared" si="47"/>
        <v>15484.353622380717</v>
      </c>
      <c r="AA179" s="45">
        <f t="shared" si="47"/>
        <v>15495.812044061273</v>
      </c>
      <c r="AB179" s="45">
        <f t="shared" si="47"/>
        <v>15507.278944973881</v>
      </c>
      <c r="AC179" s="283">
        <f t="shared" si="47"/>
        <v>15518.75433139316</v>
      </c>
      <c r="AD179" s="361">
        <f t="shared" si="32"/>
        <v>299689.47460453643</v>
      </c>
    </row>
    <row r="180" spans="1:30" s="53" customFormat="1" ht="12">
      <c r="A180" s="44"/>
      <c r="B180" s="5"/>
      <c r="C180" s="319" t="s">
        <v>155</v>
      </c>
      <c r="D180" s="273"/>
      <c r="E180" s="236"/>
      <c r="F180" s="275">
        <f>$D$177*F69</f>
        <v>-3.0038325277040578</v>
      </c>
      <c r="G180" s="275">
        <f t="shared" ref="G180:AC180" si="48">$D$177*G69</f>
        <v>-2.9964995364362914</v>
      </c>
      <c r="H180" s="275">
        <f t="shared" si="48"/>
        <v>-2.989116113697655</v>
      </c>
      <c r="I180" s="275">
        <f t="shared" si="48"/>
        <v>-2.9816817374414781</v>
      </c>
      <c r="J180" s="275">
        <f t="shared" si="48"/>
        <v>-2.9741958783907814</v>
      </c>
      <c r="K180" s="275">
        <f t="shared" si="48"/>
        <v>-2.9666579999126679</v>
      </c>
      <c r="L180" s="275">
        <f t="shared" si="48"/>
        <v>-2.9590675578900822</v>
      </c>
      <c r="M180" s="275">
        <f t="shared" si="48"/>
        <v>-2.9514240005908863</v>
      </c>
      <c r="N180" s="275">
        <f t="shared" si="48"/>
        <v>-2.9437267685341713</v>
      </c>
      <c r="O180" s="275">
        <f t="shared" si="48"/>
        <v>-2.9359752943537432</v>
      </c>
      <c r="P180" s="275">
        <f t="shared" si="48"/>
        <v>-2.9281690026587137</v>
      </c>
      <c r="Q180" s="275">
        <f t="shared" si="48"/>
        <v>-2.9203073098911227</v>
      </c>
      <c r="R180" s="275">
        <f t="shared" si="48"/>
        <v>-2.9123896241805189</v>
      </c>
      <c r="S180" s="275">
        <f t="shared" si="48"/>
        <v>-2.9044153451954209</v>
      </c>
      <c r="T180" s="275">
        <f t="shared" si="48"/>
        <v>-2.8963838639915838</v>
      </c>
      <c r="U180" s="275">
        <f t="shared" si="48"/>
        <v>-2.8882945628569847</v>
      </c>
      <c r="V180" s="275">
        <f t="shared" si="48"/>
        <v>-2.8801468151534557</v>
      </c>
      <c r="W180" s="275">
        <f t="shared" si="48"/>
        <v>-2.8719399851548628</v>
      </c>
      <c r="X180" s="275">
        <f t="shared" si="48"/>
        <v>-2.8636734278817575</v>
      </c>
      <c r="Y180" s="275">
        <f t="shared" si="48"/>
        <v>-2.8553464889324038</v>
      </c>
      <c r="Z180" s="275">
        <f t="shared" si="48"/>
        <v>-2.8469585043100891</v>
      </c>
      <c r="AA180" s="275">
        <f t="shared" si="48"/>
        <v>-2.8385088002466214</v>
      </c>
      <c r="AB180" s="275">
        <f t="shared" si="48"/>
        <v>-2.8299966930219189</v>
      </c>
      <c r="AC180" s="288">
        <f t="shared" si="48"/>
        <v>-2.8214214887795848</v>
      </c>
      <c r="AD180" s="369">
        <f t="shared" si="32"/>
        <v>-69.960129327206857</v>
      </c>
    </row>
    <row r="181" spans="1:30" s="53" customFormat="1" ht="12">
      <c r="A181" s="44"/>
      <c r="B181" s="70"/>
      <c r="C181" s="78" t="s">
        <v>417</v>
      </c>
      <c r="D181" s="273"/>
      <c r="E181" s="236"/>
      <c r="F181" s="275">
        <f>F180*F179</f>
        <v>0</v>
      </c>
      <c r="G181" s="275">
        <f t="shared" ref="G181:AC181" si="49">G180*G179</f>
        <v>0</v>
      </c>
      <c r="H181" s="275">
        <f t="shared" si="49"/>
        <v>0</v>
      </c>
      <c r="I181" s="275">
        <f t="shared" si="49"/>
        <v>0</v>
      </c>
      <c r="J181" s="275">
        <f t="shared" si="49"/>
        <v>-29579.121646284631</v>
      </c>
      <c r="K181" s="275">
        <f t="shared" si="49"/>
        <v>-40803.066973437919</v>
      </c>
      <c r="L181" s="275">
        <f t="shared" si="49"/>
        <v>-42213.473379370553</v>
      </c>
      <c r="M181" s="275">
        <f t="shared" si="49"/>
        <v>-43671.558855842544</v>
      </c>
      <c r="N181" s="275">
        <f t="shared" si="49"/>
        <v>-45178.880917680894</v>
      </c>
      <c r="O181" s="275">
        <f t="shared" si="49"/>
        <v>-45093.259414435561</v>
      </c>
      <c r="P181" s="275">
        <f t="shared" si="49"/>
        <v>-45006.643893362358</v>
      </c>
      <c r="Q181" s="275">
        <f t="shared" si="49"/>
        <v>-44919.023330648248</v>
      </c>
      <c r="R181" s="275">
        <f t="shared" si="49"/>
        <v>-44830.386545009278</v>
      </c>
      <c r="S181" s="275">
        <f t="shared" si="49"/>
        <v>-44740.722194876173</v>
      </c>
      <c r="T181" s="275">
        <f t="shared" si="49"/>
        <v>-44650.018775519522</v>
      </c>
      <c r="U181" s="275">
        <f t="shared" si="49"/>
        <v>-44558.264616112829</v>
      </c>
      <c r="V181" s="275">
        <f t="shared" si="49"/>
        <v>-44465.447876731829</v>
      </c>
      <c r="W181" s="275">
        <f t="shared" si="49"/>
        <v>-44371.556545288659</v>
      </c>
      <c r="X181" s="275">
        <f t="shared" si="49"/>
        <v>-44276.578434399031</v>
      </c>
      <c r="Y181" s="275">
        <f t="shared" si="49"/>
        <v>-44180.501178180661</v>
      </c>
      <c r="Z181" s="275">
        <f t="shared" si="49"/>
        <v>-44083.312228981515</v>
      </c>
      <c r="AA181" s="275">
        <f t="shared" si="49"/>
        <v>-43984.998854035512</v>
      </c>
      <c r="AB181" s="275">
        <f t="shared" si="49"/>
        <v>-43885.548132044518</v>
      </c>
      <c r="AC181" s="288">
        <f t="shared" si="49"/>
        <v>-43784.946949683923</v>
      </c>
      <c r="AD181" s="369">
        <f t="shared" si="32"/>
        <v>-868277.31074192608</v>
      </c>
    </row>
    <row r="182" spans="1:30" s="53" customFormat="1" ht="12">
      <c r="A182" s="44"/>
      <c r="B182" s="70"/>
      <c r="C182" s="78" t="s">
        <v>491</v>
      </c>
      <c r="D182" s="273">
        <f>$D$177*(D77)</f>
        <v>3.0165463640823211</v>
      </c>
      <c r="E182" s="236"/>
      <c r="F182" s="275">
        <f>$D182*F179</f>
        <v>0</v>
      </c>
      <c r="G182" s="275">
        <f t="shared" ref="G182:AC182" si="50">$D182*G179</f>
        <v>0</v>
      </c>
      <c r="H182" s="275">
        <f t="shared" si="50"/>
        <v>0</v>
      </c>
      <c r="I182" s="275">
        <f t="shared" si="50"/>
        <v>0</v>
      </c>
      <c r="J182" s="275">
        <f t="shared" si="50"/>
        <v>30000.307815343233</v>
      </c>
      <c r="K182" s="275">
        <f t="shared" si="50"/>
        <v>41489.225696307069</v>
      </c>
      <c r="L182" s="275">
        <f t="shared" si="50"/>
        <v>43033.454676723617</v>
      </c>
      <c r="M182" s="275">
        <f t="shared" si="50"/>
        <v>44635.159859791282</v>
      </c>
      <c r="N182" s="275">
        <f t="shared" si="50"/>
        <v>46296.480509772715</v>
      </c>
      <c r="O182" s="275">
        <f t="shared" si="50"/>
        <v>46330.739905349939</v>
      </c>
      <c r="P182" s="275">
        <f t="shared" si="50"/>
        <v>46365.024652879903</v>
      </c>
      <c r="Q182" s="275">
        <f t="shared" si="50"/>
        <v>46399.334771123024</v>
      </c>
      <c r="R182" s="275">
        <f t="shared" si="50"/>
        <v>46433.670278853657</v>
      </c>
      <c r="S182" s="275">
        <f t="shared" si="50"/>
        <v>46468.031194860014</v>
      </c>
      <c r="T182" s="275">
        <f t="shared" si="50"/>
        <v>46502.417537944195</v>
      </c>
      <c r="U182" s="275">
        <f t="shared" si="50"/>
        <v>46536.829326922278</v>
      </c>
      <c r="V182" s="275">
        <f t="shared" si="50"/>
        <v>46571.2665806242</v>
      </c>
      <c r="W182" s="275">
        <f t="shared" si="50"/>
        <v>46605.729317893856</v>
      </c>
      <c r="X182" s="275">
        <f t="shared" si="50"/>
        <v>46640.217557589101</v>
      </c>
      <c r="Y182" s="275">
        <f t="shared" si="50"/>
        <v>46674.731318581704</v>
      </c>
      <c r="Z182" s="275">
        <f t="shared" si="50"/>
        <v>46709.270619757473</v>
      </c>
      <c r="AA182" s="275">
        <f t="shared" si="50"/>
        <v>46743.835480016074</v>
      </c>
      <c r="AB182" s="275">
        <f t="shared" si="50"/>
        <v>46778.425918271292</v>
      </c>
      <c r="AC182" s="288">
        <f t="shared" si="50"/>
        <v>46813.041953450811</v>
      </c>
      <c r="AD182" s="369">
        <f t="shared" si="32"/>
        <v>904027.19497205538</v>
      </c>
    </row>
    <row r="183" spans="1:30" s="53" customFormat="1" ht="12">
      <c r="A183" s="45"/>
      <c r="B183" s="45"/>
      <c r="C183" s="78"/>
      <c r="D183" s="273"/>
      <c r="E183" s="236"/>
      <c r="F183" s="275"/>
      <c r="G183" s="275"/>
      <c r="H183" s="275"/>
      <c r="I183" s="275"/>
      <c r="J183" s="275"/>
      <c r="K183" s="275"/>
      <c r="L183" s="275"/>
      <c r="M183" s="275"/>
      <c r="N183" s="275"/>
      <c r="O183" s="275"/>
      <c r="P183" s="275"/>
      <c r="Q183" s="275"/>
      <c r="R183" s="275"/>
      <c r="S183" s="275"/>
      <c r="T183" s="275"/>
      <c r="U183" s="275"/>
      <c r="V183" s="275"/>
      <c r="W183" s="275"/>
      <c r="X183" s="275"/>
      <c r="Y183" s="275"/>
      <c r="Z183" s="275"/>
      <c r="AA183" s="275"/>
      <c r="AB183" s="275"/>
      <c r="AC183" s="288"/>
      <c r="AD183" s="369">
        <f t="shared" si="32"/>
        <v>0</v>
      </c>
    </row>
    <row r="184" spans="1:30" s="53" customFormat="1" ht="12">
      <c r="A184" s="45"/>
      <c r="B184" s="5" t="s">
        <v>277</v>
      </c>
      <c r="C184" s="78"/>
      <c r="D184" s="273"/>
      <c r="E184" s="236"/>
      <c r="F184" s="275"/>
      <c r="G184" s="275"/>
      <c r="H184" s="275"/>
      <c r="I184" s="275"/>
      <c r="J184" s="275"/>
      <c r="K184" s="275"/>
      <c r="L184" s="275"/>
      <c r="M184" s="275"/>
      <c r="N184" s="275"/>
      <c r="O184" s="275"/>
      <c r="P184" s="275"/>
      <c r="Q184" s="275"/>
      <c r="R184" s="275"/>
      <c r="S184" s="275"/>
      <c r="T184" s="275"/>
      <c r="U184" s="275"/>
      <c r="V184" s="275"/>
      <c r="W184" s="275"/>
      <c r="X184" s="275"/>
      <c r="Y184" s="275"/>
      <c r="Z184" s="275"/>
      <c r="AA184" s="275"/>
      <c r="AB184" s="275"/>
      <c r="AC184" s="288"/>
      <c r="AD184" s="369">
        <f t="shared" si="32"/>
        <v>0</v>
      </c>
    </row>
    <row r="185" spans="1:30" s="53" customFormat="1" ht="12">
      <c r="A185" s="44"/>
      <c r="B185" s="5"/>
      <c r="C185" s="78" t="s">
        <v>427</v>
      </c>
      <c r="D185" s="273"/>
      <c r="E185" s="236"/>
      <c r="F185" s="45">
        <f>F17</f>
        <v>0</v>
      </c>
      <c r="G185" s="45">
        <f t="shared" ref="G185:AC185" si="51">G17</f>
        <v>0</v>
      </c>
      <c r="H185" s="45">
        <f t="shared" si="51"/>
        <v>0</v>
      </c>
      <c r="I185" s="45">
        <f t="shared" si="51"/>
        <v>0</v>
      </c>
      <c r="J185" s="45">
        <f t="shared" si="51"/>
        <v>193.5524797849705</v>
      </c>
      <c r="K185" s="45">
        <f t="shared" si="51"/>
        <v>267.67533744342279</v>
      </c>
      <c r="L185" s="45">
        <f t="shared" si="51"/>
        <v>277.63821350306694</v>
      </c>
      <c r="M185" s="45">
        <f t="shared" si="51"/>
        <v>287.9719078096511</v>
      </c>
      <c r="N185" s="45">
        <f t="shared" si="51"/>
        <v>298.69022221832637</v>
      </c>
      <c r="O185" s="45">
        <f t="shared" si="51"/>
        <v>298.91125298276796</v>
      </c>
      <c r="P185" s="45">
        <f t="shared" si="51"/>
        <v>299.13244730997519</v>
      </c>
      <c r="Q185" s="45">
        <f t="shared" si="51"/>
        <v>299.35380532098452</v>
      </c>
      <c r="R185" s="45">
        <f t="shared" si="51"/>
        <v>299.57532713692206</v>
      </c>
      <c r="S185" s="45">
        <f t="shared" si="51"/>
        <v>299.79701287900338</v>
      </c>
      <c r="T185" s="45">
        <f t="shared" si="51"/>
        <v>300.01886266853387</v>
      </c>
      <c r="U185" s="45">
        <f t="shared" si="51"/>
        <v>300.24087662690857</v>
      </c>
      <c r="V185" s="45">
        <f t="shared" si="51"/>
        <v>300.46305487561244</v>
      </c>
      <c r="W185" s="45">
        <f t="shared" si="51"/>
        <v>300.68539753622036</v>
      </c>
      <c r="X185" s="45">
        <f t="shared" si="51"/>
        <v>300.90790473039715</v>
      </c>
      <c r="Y185" s="45">
        <f t="shared" si="51"/>
        <v>301.13057657989765</v>
      </c>
      <c r="Z185" s="45">
        <f t="shared" si="51"/>
        <v>301.35341320656676</v>
      </c>
      <c r="AA185" s="45">
        <f t="shared" si="51"/>
        <v>301.57641473233963</v>
      </c>
      <c r="AB185" s="45">
        <f t="shared" si="51"/>
        <v>301.79958127924152</v>
      </c>
      <c r="AC185" s="283">
        <f t="shared" si="51"/>
        <v>302.02291296938813</v>
      </c>
      <c r="AD185" s="361">
        <f t="shared" si="32"/>
        <v>5832.4970015941981</v>
      </c>
    </row>
    <row r="186" spans="1:30" s="53" customFormat="1" ht="12">
      <c r="A186" s="44"/>
      <c r="B186" s="5"/>
      <c r="C186" s="78" t="s">
        <v>443</v>
      </c>
      <c r="D186" s="273"/>
      <c r="E186" s="236"/>
      <c r="F186" s="275">
        <f>F96*$D$177</f>
        <v>-1.1772931527040575</v>
      </c>
      <c r="G186" s="275">
        <f t="shared" ref="G186:AC186" si="52">G96*$D$177</f>
        <v>-1.1699601614362911</v>
      </c>
      <c r="H186" s="275">
        <f t="shared" si="52"/>
        <v>-1.1625767386976547</v>
      </c>
      <c r="I186" s="275">
        <f t="shared" si="52"/>
        <v>-1.1551423624414778</v>
      </c>
      <c r="J186" s="275">
        <f t="shared" si="52"/>
        <v>-1.1476565033907811</v>
      </c>
      <c r="K186" s="275">
        <f t="shared" si="52"/>
        <v>-1.1401186249126676</v>
      </c>
      <c r="L186" s="275">
        <f t="shared" si="52"/>
        <v>-1.1325281828900819</v>
      </c>
      <c r="M186" s="275">
        <f t="shared" si="52"/>
        <v>-1.124884625590886</v>
      </c>
      <c r="N186" s="275">
        <f t="shared" si="52"/>
        <v>-1.117187393534171</v>
      </c>
      <c r="O186" s="275">
        <f t="shared" si="52"/>
        <v>-1.1094359193537429</v>
      </c>
      <c r="P186" s="275">
        <f t="shared" si="52"/>
        <v>-1.1016296276587134</v>
      </c>
      <c r="Q186" s="275">
        <f t="shared" si="52"/>
        <v>-1.0937679348911225</v>
      </c>
      <c r="R186" s="275">
        <f t="shared" si="52"/>
        <v>-1.0858502491805186</v>
      </c>
      <c r="S186" s="275">
        <f t="shared" si="52"/>
        <v>-1.0778759701954206</v>
      </c>
      <c r="T186" s="275">
        <f t="shared" si="52"/>
        <v>-1.0698444889915835</v>
      </c>
      <c r="U186" s="275">
        <f t="shared" si="52"/>
        <v>-1.0617551878569844</v>
      </c>
      <c r="V186" s="275">
        <f t="shared" si="52"/>
        <v>-1.0536074401534554</v>
      </c>
      <c r="W186" s="275">
        <f t="shared" si="52"/>
        <v>-1.0454006101548625</v>
      </c>
      <c r="X186" s="275">
        <f t="shared" si="52"/>
        <v>-1.0371340528817572</v>
      </c>
      <c r="Y186" s="275">
        <f t="shared" si="52"/>
        <v>-1.0288071139324035</v>
      </c>
      <c r="Z186" s="275">
        <f t="shared" si="52"/>
        <v>-1.0204191293100888</v>
      </c>
      <c r="AA186" s="275">
        <f t="shared" si="52"/>
        <v>-1.0119694252466211</v>
      </c>
      <c r="AB186" s="275">
        <f t="shared" si="52"/>
        <v>-1.0034573180219186</v>
      </c>
      <c r="AC186" s="288">
        <f t="shared" si="52"/>
        <v>-0.99488211377958446</v>
      </c>
      <c r="AD186" s="369">
        <f t="shared" si="32"/>
        <v>-26.12318432720685</v>
      </c>
    </row>
    <row r="187" spans="1:30" s="53" customFormat="1" ht="12">
      <c r="A187" s="44"/>
      <c r="B187" s="5"/>
      <c r="C187" s="319" t="s">
        <v>155</v>
      </c>
      <c r="D187" s="273"/>
      <c r="E187" s="236"/>
      <c r="F187" s="275">
        <f>F186*F185</f>
        <v>0</v>
      </c>
      <c r="G187" s="275">
        <f t="shared" ref="G187:AC187" si="53">G186*G185</f>
        <v>0</v>
      </c>
      <c r="H187" s="275">
        <f t="shared" si="53"/>
        <v>0</v>
      </c>
      <c r="I187" s="275">
        <f t="shared" si="53"/>
        <v>0</v>
      </c>
      <c r="J187" s="275">
        <f t="shared" si="53"/>
        <v>-222.13176217263407</v>
      </c>
      <c r="K187" s="275">
        <f t="shared" si="53"/>
        <v>-305.18163764902948</v>
      </c>
      <c r="L187" s="275">
        <f t="shared" si="53"/>
        <v>-314.43310143947701</v>
      </c>
      <c r="M187" s="275">
        <f t="shared" si="53"/>
        <v>-323.9351716971525</v>
      </c>
      <c r="N187" s="275">
        <f t="shared" si="53"/>
        <v>-333.69295083423435</v>
      </c>
      <c r="O187" s="275">
        <f t="shared" si="53"/>
        <v>-331.62288075811637</v>
      </c>
      <c r="P187" s="275">
        <f t="shared" si="53"/>
        <v>-329.53316655072769</v>
      </c>
      <c r="Q187" s="275">
        <f t="shared" si="53"/>
        <v>-327.42359344773234</v>
      </c>
      <c r="R187" s="275">
        <f t="shared" si="53"/>
        <v>-325.29394361996219</v>
      </c>
      <c r="S187" s="275">
        <f t="shared" si="53"/>
        <v>-323.14399611864474</v>
      </c>
      <c r="T187" s="275">
        <f t="shared" si="53"/>
        <v>-320.9735268194537</v>
      </c>
      <c r="U187" s="275">
        <f t="shared" si="53"/>
        <v>-318.78230836534897</v>
      </c>
      <c r="V187" s="275">
        <f t="shared" si="53"/>
        <v>-316.57011010818121</v>
      </c>
      <c r="W187" s="275">
        <f t="shared" si="53"/>
        <v>-314.33669804902217</v>
      </c>
      <c r="X187" s="275">
        <f t="shared" si="53"/>
        <v>-312.0818347771945</v>
      </c>
      <c r="Y187" s="275">
        <f t="shared" si="53"/>
        <v>-309.80527940796514</v>
      </c>
      <c r="Z187" s="275">
        <f t="shared" si="53"/>
        <v>-307.50678751886829</v>
      </c>
      <c r="AA187" s="275">
        <f t="shared" si="53"/>
        <v>-305.18611108462238</v>
      </c>
      <c r="AB187" s="275">
        <f t="shared" si="53"/>
        <v>-302.84299841060573</v>
      </c>
      <c r="AC187" s="288">
        <f t="shared" si="53"/>
        <v>-300.47719406485231</v>
      </c>
      <c r="AD187" s="369">
        <f t="shared" si="32"/>
        <v>-6244.9550528938253</v>
      </c>
    </row>
    <row r="188" spans="1:30" s="53" customFormat="1" ht="12">
      <c r="A188" s="44"/>
      <c r="B188" s="5"/>
      <c r="C188" s="78" t="s">
        <v>444</v>
      </c>
      <c r="D188" s="273">
        <f>D104</f>
        <v>5.9830927281646424</v>
      </c>
      <c r="E188" s="236"/>
      <c r="F188" s="275">
        <f>$D188*F185</f>
        <v>0</v>
      </c>
      <c r="G188" s="275">
        <f t="shared" ref="G188:AC188" si="54">$D188*G185</f>
        <v>0</v>
      </c>
      <c r="H188" s="275">
        <f t="shared" si="54"/>
        <v>0</v>
      </c>
      <c r="I188" s="275">
        <f t="shared" si="54"/>
        <v>0</v>
      </c>
      <c r="J188" s="275">
        <f t="shared" si="54"/>
        <v>1158.042434319691</v>
      </c>
      <c r="K188" s="275">
        <f t="shared" si="54"/>
        <v>1601.5263649667597</v>
      </c>
      <c r="L188" s="275">
        <f t="shared" si="54"/>
        <v>1661.1351762708223</v>
      </c>
      <c r="M188" s="275">
        <f t="shared" si="54"/>
        <v>1722.9626275316223</v>
      </c>
      <c r="N188" s="275">
        <f t="shared" si="54"/>
        <v>1787.0912965283496</v>
      </c>
      <c r="O188" s="275">
        <f t="shared" si="54"/>
        <v>1788.4137440877807</v>
      </c>
      <c r="P188" s="275">
        <f t="shared" si="54"/>
        <v>1789.7371702584055</v>
      </c>
      <c r="Q188" s="275">
        <f t="shared" si="54"/>
        <v>1791.0615757643966</v>
      </c>
      <c r="R188" s="275">
        <f t="shared" si="54"/>
        <v>1792.3869613304623</v>
      </c>
      <c r="S188" s="275">
        <f t="shared" si="54"/>
        <v>1793.7133276818467</v>
      </c>
      <c r="T188" s="275">
        <f t="shared" si="54"/>
        <v>1795.0406755443314</v>
      </c>
      <c r="U188" s="275">
        <f t="shared" si="54"/>
        <v>1796.3690056442342</v>
      </c>
      <c r="V188" s="275">
        <f t="shared" si="54"/>
        <v>1797.6983187084106</v>
      </c>
      <c r="W188" s="275">
        <f t="shared" si="54"/>
        <v>1799.0286154642547</v>
      </c>
      <c r="X188" s="275">
        <f t="shared" si="54"/>
        <v>1800.3598966396983</v>
      </c>
      <c r="Y188" s="275">
        <f t="shared" si="54"/>
        <v>1801.6921629632116</v>
      </c>
      <c r="Z188" s="275">
        <f t="shared" si="54"/>
        <v>1803.0254151638044</v>
      </c>
      <c r="AA188" s="275">
        <f t="shared" si="54"/>
        <v>1804.3596539710256</v>
      </c>
      <c r="AB188" s="275">
        <f t="shared" si="54"/>
        <v>1805.694880114964</v>
      </c>
      <c r="AC188" s="288">
        <f t="shared" si="54"/>
        <v>1807.0310943262489</v>
      </c>
      <c r="AD188" s="369">
        <f t="shared" si="32"/>
        <v>34896.370397280327</v>
      </c>
    </row>
    <row r="189" spans="1:30" s="53" customFormat="1" ht="12">
      <c r="A189" s="45"/>
      <c r="B189" s="5" t="s">
        <v>413</v>
      </c>
      <c r="C189" s="64"/>
      <c r="D189" s="273"/>
      <c r="E189" s="236"/>
      <c r="F189" s="275"/>
      <c r="G189" s="275"/>
      <c r="H189" s="275"/>
      <c r="I189" s="275"/>
      <c r="J189" s="275"/>
      <c r="K189" s="275"/>
      <c r="L189" s="275"/>
      <c r="M189" s="275"/>
      <c r="N189" s="275"/>
      <c r="O189" s="275"/>
      <c r="P189" s="275"/>
      <c r="Q189" s="275"/>
      <c r="R189" s="275"/>
      <c r="S189" s="275"/>
      <c r="T189" s="275"/>
      <c r="U189" s="275"/>
      <c r="V189" s="275"/>
      <c r="W189" s="275"/>
      <c r="X189" s="275"/>
      <c r="Y189" s="275"/>
      <c r="Z189" s="275"/>
      <c r="AA189" s="275"/>
      <c r="AB189" s="275"/>
      <c r="AC189" s="288"/>
      <c r="AD189" s="369">
        <f t="shared" si="32"/>
        <v>0</v>
      </c>
    </row>
    <row r="190" spans="1:30" s="53" customFormat="1" ht="12">
      <c r="A190" s="44"/>
      <c r="B190" s="70" t="s">
        <v>463</v>
      </c>
      <c r="C190" s="47" t="s">
        <v>152</v>
      </c>
      <c r="D190" s="273"/>
      <c r="E190" s="236"/>
      <c r="F190" s="45">
        <f>F24</f>
        <v>0</v>
      </c>
      <c r="G190" s="45">
        <f t="shared" ref="G190:AC190" si="55">G24</f>
        <v>0</v>
      </c>
      <c r="H190" s="45">
        <f t="shared" si="55"/>
        <v>0</v>
      </c>
      <c r="I190" s="45">
        <f t="shared" si="55"/>
        <v>0</v>
      </c>
      <c r="J190" s="45">
        <f t="shared" si="55"/>
        <v>10125</v>
      </c>
      <c r="K190" s="45">
        <f t="shared" si="55"/>
        <v>13824.375</v>
      </c>
      <c r="L190" s="45">
        <f t="shared" si="55"/>
        <v>13962.61875</v>
      </c>
      <c r="M190" s="45">
        <f t="shared" si="55"/>
        <v>14102.244937500001</v>
      </c>
      <c r="N190" s="45">
        <f t="shared" si="55"/>
        <v>14243.267386874999</v>
      </c>
      <c r="O190" s="45">
        <f t="shared" si="55"/>
        <v>14385.700060743749</v>
      </c>
      <c r="P190" s="45">
        <f t="shared" si="55"/>
        <v>14529.55706135119</v>
      </c>
      <c r="Q190" s="45">
        <f t="shared" si="55"/>
        <v>14674.852631964701</v>
      </c>
      <c r="R190" s="45">
        <f t="shared" si="55"/>
        <v>14821.601158284346</v>
      </c>
      <c r="S190" s="45">
        <f t="shared" si="55"/>
        <v>14969.81716986719</v>
      </c>
      <c r="T190" s="45">
        <f t="shared" si="55"/>
        <v>15119.515341565862</v>
      </c>
      <c r="U190" s="45">
        <f t="shared" si="55"/>
        <v>15270.71049498152</v>
      </c>
      <c r="V190" s="45">
        <f t="shared" si="55"/>
        <v>15423.417599931337</v>
      </c>
      <c r="W190" s="45">
        <f t="shared" si="55"/>
        <v>15577.651775930648</v>
      </c>
      <c r="X190" s="45">
        <f t="shared" si="55"/>
        <v>15733.428293689956</v>
      </c>
      <c r="Y190" s="45">
        <f t="shared" si="55"/>
        <v>15890.762576626857</v>
      </c>
      <c r="Z190" s="45">
        <f t="shared" si="55"/>
        <v>16049.670202393125</v>
      </c>
      <c r="AA190" s="45">
        <f t="shared" si="55"/>
        <v>16210.166904417056</v>
      </c>
      <c r="AB190" s="45">
        <f t="shared" si="55"/>
        <v>16372.268573461224</v>
      </c>
      <c r="AC190" s="283">
        <f t="shared" si="55"/>
        <v>16535.991259195838</v>
      </c>
      <c r="AD190" s="361">
        <f t="shared" si="32"/>
        <v>297822.61717877962</v>
      </c>
    </row>
    <row r="191" spans="1:30" s="53" customFormat="1" ht="12">
      <c r="A191" s="44"/>
      <c r="B191" s="70"/>
      <c r="C191" s="319" t="s">
        <v>155</v>
      </c>
      <c r="D191" s="273"/>
      <c r="E191" s="236"/>
      <c r="F191" s="275">
        <f>F123*$D$177</f>
        <v>-0.46121546625611298</v>
      </c>
      <c r="G191" s="275">
        <f t="shared" ref="G191:AC191" si="56">G123*$D$177</f>
        <v>-0.45919607327622036</v>
      </c>
      <c r="H191" s="275">
        <f t="shared" si="56"/>
        <v>-0.45716279224511891</v>
      </c>
      <c r="I191" s="275">
        <f t="shared" si="56"/>
        <v>-0.45511547939918717</v>
      </c>
      <c r="J191" s="275">
        <f t="shared" si="56"/>
        <v>-0.45305398898368776</v>
      </c>
      <c r="K191" s="275">
        <f t="shared" si="56"/>
        <v>-0.45097817321817635</v>
      </c>
      <c r="L191" s="275">
        <f t="shared" si="56"/>
        <v>-0.44888788226118748</v>
      </c>
      <c r="M191" s="275">
        <f t="shared" si="56"/>
        <v>-0.44678296417417807</v>
      </c>
      <c r="N191" s="275">
        <f t="shared" si="56"/>
        <v>-0.44466326488471353</v>
      </c>
      <c r="O191" s="275">
        <f t="shared" si="56"/>
        <v>-0.4425286281488725</v>
      </c>
      <c r="P191" s="275">
        <f t="shared" si="56"/>
        <v>-0.44037889551285692</v>
      </c>
      <c r="Q191" s="275">
        <f t="shared" si="56"/>
        <v>-0.43821390627378154</v>
      </c>
      <c r="R191" s="275">
        <f t="shared" si="56"/>
        <v>-0.43603349743963071</v>
      </c>
      <c r="S191" s="275">
        <f t="shared" si="56"/>
        <v>-0.43383750368834995</v>
      </c>
      <c r="T191" s="275">
        <f t="shared" si="56"/>
        <v>-0.43162575732606245</v>
      </c>
      <c r="U191" s="275">
        <f t="shared" si="56"/>
        <v>-0.42939808824438064</v>
      </c>
      <c r="V191" s="275">
        <f t="shared" si="56"/>
        <v>-0.4271543238767932</v>
      </c>
      <c r="W191" s="275">
        <f t="shared" si="56"/>
        <v>-0.42489428915410388</v>
      </c>
      <c r="X191" s="275">
        <f t="shared" si="56"/>
        <v>-0.4226178064588948</v>
      </c>
      <c r="Y191" s="275">
        <f t="shared" si="56"/>
        <v>-0.42032469557899588</v>
      </c>
      <c r="Z191" s="275">
        <f t="shared" si="56"/>
        <v>-0.41801477365992779</v>
      </c>
      <c r="AA191" s="275">
        <f t="shared" si="56"/>
        <v>-0.41568785515629592</v>
      </c>
      <c r="AB191" s="275">
        <f t="shared" si="56"/>
        <v>-0.41334375178210858</v>
      </c>
      <c r="AC191" s="288">
        <f t="shared" si="56"/>
        <v>-0.41098227245998897</v>
      </c>
      <c r="AD191" s="369">
        <f t="shared" si="32"/>
        <v>-10.482092129459629</v>
      </c>
    </row>
    <row r="192" spans="1:30" s="53" customFormat="1" ht="12">
      <c r="A192" s="44"/>
      <c r="B192" s="70"/>
      <c r="C192" s="78" t="s">
        <v>445</v>
      </c>
      <c r="D192" s="273"/>
      <c r="E192" s="236"/>
      <c r="F192" s="275">
        <f>F191*F190</f>
        <v>0</v>
      </c>
      <c r="G192" s="275">
        <f t="shared" ref="G192:AC192" si="57">G191*G190</f>
        <v>0</v>
      </c>
      <c r="H192" s="275">
        <f t="shared" si="57"/>
        <v>0</v>
      </c>
      <c r="I192" s="275">
        <f t="shared" si="57"/>
        <v>0</v>
      </c>
      <c r="J192" s="275">
        <f t="shared" si="57"/>
        <v>-4587.1716384598385</v>
      </c>
      <c r="K192" s="275">
        <f t="shared" si="57"/>
        <v>-6234.4913833830269</v>
      </c>
      <c r="L192" s="275">
        <f t="shared" si="57"/>
        <v>-6267.6503615078482</v>
      </c>
      <c r="M192" s="275">
        <f t="shared" si="57"/>
        <v>-6300.6427946865469</v>
      </c>
      <c r="N192" s="275">
        <f t="shared" si="57"/>
        <v>-6333.4577788737988</v>
      </c>
      <c r="O192" s="275">
        <f t="shared" si="57"/>
        <v>-6366.0841128420834</v>
      </c>
      <c r="P192" s="275">
        <f t="shared" si="57"/>
        <v>-6398.5102909688685</v>
      </c>
      <c r="Q192" s="275">
        <f t="shared" si="57"/>
        <v>-6430.7244958453357</v>
      </c>
      <c r="R192" s="275">
        <f t="shared" si="57"/>
        <v>-6462.7145907020049</v>
      </c>
      <c r="S192" s="275">
        <f t="shared" si="57"/>
        <v>-6494.4681116461816</v>
      </c>
      <c r="T192" s="275">
        <f t="shared" si="57"/>
        <v>-6525.9722597063856</v>
      </c>
      <c r="U192" s="275">
        <f t="shared" si="57"/>
        <v>-6557.2138926784646</v>
      </c>
      <c r="V192" s="275">
        <f t="shared" si="57"/>
        <v>-6588.179516768103</v>
      </c>
      <c r="W192" s="275">
        <f t="shared" si="57"/>
        <v>-6618.8552780242162</v>
      </c>
      <c r="X192" s="275">
        <f t="shared" si="57"/>
        <v>-6649.2269535575615</v>
      </c>
      <c r="Y192" s="275">
        <f t="shared" si="57"/>
        <v>-6679.2799425387839</v>
      </c>
      <c r="Z192" s="275">
        <f t="shared" si="57"/>
        <v>-6708.9992569698497</v>
      </c>
      <c r="AA192" s="275">
        <f t="shared" si="57"/>
        <v>-6738.3695122226991</v>
      </c>
      <c r="AB192" s="275">
        <f t="shared" si="57"/>
        <v>-6767.3749173387732</v>
      </c>
      <c r="AC192" s="288">
        <f t="shared" si="57"/>
        <v>-6795.9992650828199</v>
      </c>
      <c r="AD192" s="369">
        <f t="shared" si="32"/>
        <v>-128505.38635380319</v>
      </c>
    </row>
    <row r="193" spans="1:30" s="53" customFormat="1" ht="12">
      <c r="A193" s="44"/>
      <c r="B193" s="70"/>
      <c r="C193" s="78" t="s">
        <v>487</v>
      </c>
      <c r="D193" s="273">
        <f>D140</f>
        <v>7.9934109589041098</v>
      </c>
      <c r="E193" s="236"/>
      <c r="F193" s="275">
        <f t="shared" ref="F193" si="58">$D193*F195</f>
        <v>0</v>
      </c>
      <c r="G193" s="275">
        <f t="shared" ref="G193:AC193" si="59">$D193*G195</f>
        <v>0</v>
      </c>
      <c r="H193" s="275">
        <f t="shared" si="59"/>
        <v>0</v>
      </c>
      <c r="I193" s="275">
        <f t="shared" si="59"/>
        <v>0</v>
      </c>
      <c r="J193" s="275">
        <f t="shared" si="59"/>
        <v>134888.80993150684</v>
      </c>
      <c r="K193" s="275">
        <f t="shared" si="59"/>
        <v>184173.18437500001</v>
      </c>
      <c r="L193" s="275">
        <f t="shared" si="59"/>
        <v>186014.91621875</v>
      </c>
      <c r="M193" s="275">
        <f t="shared" si="59"/>
        <v>187875.06538093754</v>
      </c>
      <c r="N193" s="275">
        <f t="shared" si="59"/>
        <v>189753.81603474688</v>
      </c>
      <c r="O193" s="275">
        <f t="shared" si="59"/>
        <v>191651.35419509435</v>
      </c>
      <c r="P193" s="275">
        <f t="shared" si="59"/>
        <v>193567.86773704531</v>
      </c>
      <c r="Q193" s="275">
        <f t="shared" si="59"/>
        <v>195503.54641441579</v>
      </c>
      <c r="R193" s="275">
        <f t="shared" si="59"/>
        <v>197458.58187855993</v>
      </c>
      <c r="S193" s="275">
        <f t="shared" si="59"/>
        <v>199433.16769734552</v>
      </c>
      <c r="T193" s="275">
        <f t="shared" si="59"/>
        <v>201427.49937431898</v>
      </c>
      <c r="U193" s="275">
        <f t="shared" si="59"/>
        <v>203441.77436806215</v>
      </c>
      <c r="V193" s="275">
        <f t="shared" si="59"/>
        <v>205476.1921117428</v>
      </c>
      <c r="W193" s="275">
        <f t="shared" si="59"/>
        <v>207530.9540328602</v>
      </c>
      <c r="X193" s="275">
        <f t="shared" si="59"/>
        <v>209606.2635731888</v>
      </c>
      <c r="Y193" s="275">
        <f t="shared" si="59"/>
        <v>211702.32620892071</v>
      </c>
      <c r="Z193" s="275">
        <f t="shared" si="59"/>
        <v>213819.34947100992</v>
      </c>
      <c r="AA193" s="275">
        <f t="shared" si="59"/>
        <v>215957.54296572</v>
      </c>
      <c r="AB193" s="275">
        <f t="shared" si="59"/>
        <v>218117.11839537718</v>
      </c>
      <c r="AC193" s="288">
        <f t="shared" si="59"/>
        <v>220298.289579331</v>
      </c>
      <c r="AD193" s="369">
        <f t="shared" si="32"/>
        <v>3967697.6199439336</v>
      </c>
    </row>
    <row r="194" spans="1:30" s="53" customFormat="1" ht="12">
      <c r="A194" s="44"/>
      <c r="B194" s="70"/>
      <c r="C194" s="47"/>
      <c r="D194" s="273"/>
      <c r="E194" s="236"/>
      <c r="F194" s="275"/>
      <c r="G194" s="275"/>
      <c r="H194" s="275"/>
      <c r="I194" s="275"/>
      <c r="J194" s="275"/>
      <c r="K194" s="275"/>
      <c r="L194" s="275"/>
      <c r="M194" s="275"/>
      <c r="N194" s="275"/>
      <c r="O194" s="275"/>
      <c r="P194" s="275"/>
      <c r="Q194" s="275"/>
      <c r="R194" s="275"/>
      <c r="S194" s="275"/>
      <c r="T194" s="275"/>
      <c r="U194" s="275"/>
      <c r="V194" s="275"/>
      <c r="W194" s="275"/>
      <c r="X194" s="275"/>
      <c r="Y194" s="275"/>
      <c r="Z194" s="275"/>
      <c r="AA194" s="275"/>
      <c r="AB194" s="275"/>
      <c r="AC194" s="288"/>
      <c r="AD194" s="369">
        <f t="shared" si="32"/>
        <v>0</v>
      </c>
    </row>
    <row r="195" spans="1:30" s="53" customFormat="1" ht="12">
      <c r="A195" s="44"/>
      <c r="B195" s="70" t="s">
        <v>462</v>
      </c>
      <c r="C195" s="78" t="s">
        <v>473</v>
      </c>
      <c r="D195" s="273"/>
      <c r="E195" s="236"/>
      <c r="F195" s="45">
        <f>F26</f>
        <v>0</v>
      </c>
      <c r="G195" s="45">
        <f t="shared" ref="G195:AC195" si="60">G26</f>
        <v>0</v>
      </c>
      <c r="H195" s="45">
        <f t="shared" si="60"/>
        <v>0</v>
      </c>
      <c r="I195" s="45">
        <f t="shared" si="60"/>
        <v>0</v>
      </c>
      <c r="J195" s="45">
        <f t="shared" si="60"/>
        <v>16875</v>
      </c>
      <c r="K195" s="45">
        <f t="shared" si="60"/>
        <v>23040.625</v>
      </c>
      <c r="L195" s="45">
        <f t="shared" si="60"/>
        <v>23271.03125</v>
      </c>
      <c r="M195" s="45">
        <f t="shared" si="60"/>
        <v>23503.741562500003</v>
      </c>
      <c r="N195" s="45">
        <f t="shared" si="60"/>
        <v>23738.778978124999</v>
      </c>
      <c r="O195" s="45">
        <f t="shared" si="60"/>
        <v>23976.166767906248</v>
      </c>
      <c r="P195" s="45">
        <f t="shared" si="60"/>
        <v>24215.928435585316</v>
      </c>
      <c r="Q195" s="45">
        <f t="shared" si="60"/>
        <v>24458.08771994117</v>
      </c>
      <c r="R195" s="45">
        <f t="shared" si="60"/>
        <v>24702.668597140579</v>
      </c>
      <c r="S195" s="45">
        <f t="shared" si="60"/>
        <v>24949.695283111985</v>
      </c>
      <c r="T195" s="45">
        <f t="shared" si="60"/>
        <v>25199.192235943105</v>
      </c>
      <c r="U195" s="45">
        <f t="shared" si="60"/>
        <v>25451.184158302534</v>
      </c>
      <c r="V195" s="45">
        <f t="shared" si="60"/>
        <v>25705.695999885564</v>
      </c>
      <c r="W195" s="45">
        <f t="shared" si="60"/>
        <v>25962.752959884416</v>
      </c>
      <c r="X195" s="45">
        <f t="shared" si="60"/>
        <v>26222.380489483261</v>
      </c>
      <c r="Y195" s="45">
        <f t="shared" si="60"/>
        <v>26484.604294378096</v>
      </c>
      <c r="Z195" s="45">
        <f t="shared" si="60"/>
        <v>26749.450337321876</v>
      </c>
      <c r="AA195" s="45">
        <f t="shared" si="60"/>
        <v>27016.944840695094</v>
      </c>
      <c r="AB195" s="45">
        <f t="shared" si="60"/>
        <v>27287.114289102043</v>
      </c>
      <c r="AC195" s="283">
        <f t="shared" si="60"/>
        <v>27559.985431993067</v>
      </c>
      <c r="AD195" s="361">
        <f t="shared" si="32"/>
        <v>496371.02863129927</v>
      </c>
    </row>
    <row r="196" spans="1:30" s="53" customFormat="1" ht="12">
      <c r="A196" s="44"/>
      <c r="B196" s="70"/>
      <c r="C196" s="78" t="s">
        <v>469</v>
      </c>
      <c r="D196" s="273"/>
      <c r="E196" s="236"/>
      <c r="F196" s="275">
        <f>F130*$D$177</f>
        <v>-1.1772931527040575</v>
      </c>
      <c r="G196" s="275">
        <f t="shared" ref="G196:AC196" si="61">G130*$D$177</f>
        <v>-1.1699601614362911</v>
      </c>
      <c r="H196" s="275">
        <f t="shared" si="61"/>
        <v>-1.1625767386976547</v>
      </c>
      <c r="I196" s="275">
        <f t="shared" si="61"/>
        <v>-1.1551423624414778</v>
      </c>
      <c r="J196" s="275">
        <f t="shared" si="61"/>
        <v>-1.1476565033907811</v>
      </c>
      <c r="K196" s="275">
        <f t="shared" si="61"/>
        <v>-1.1401186249126676</v>
      </c>
      <c r="L196" s="275">
        <f t="shared" si="61"/>
        <v>-1.1325281828900819</v>
      </c>
      <c r="M196" s="275">
        <f t="shared" si="61"/>
        <v>-1.124884625590886</v>
      </c>
      <c r="N196" s="275">
        <f t="shared" si="61"/>
        <v>-1.117187393534171</v>
      </c>
      <c r="O196" s="275">
        <f t="shared" si="61"/>
        <v>-1.1094359193537429</v>
      </c>
      <c r="P196" s="275">
        <f t="shared" si="61"/>
        <v>-1.1016296276587134</v>
      </c>
      <c r="Q196" s="275">
        <f t="shared" si="61"/>
        <v>-1.0937679348911225</v>
      </c>
      <c r="R196" s="275">
        <f t="shared" si="61"/>
        <v>-1.0858502491805186</v>
      </c>
      <c r="S196" s="275">
        <f t="shared" si="61"/>
        <v>-1.0778759701954206</v>
      </c>
      <c r="T196" s="275">
        <f t="shared" si="61"/>
        <v>-1.0698444889915835</v>
      </c>
      <c r="U196" s="275">
        <f t="shared" si="61"/>
        <v>-1.0617551878569844</v>
      </c>
      <c r="V196" s="275">
        <f t="shared" si="61"/>
        <v>-1.0536074401534554</v>
      </c>
      <c r="W196" s="275">
        <f t="shared" si="61"/>
        <v>-1.0454006101548625</v>
      </c>
      <c r="X196" s="275">
        <f t="shared" si="61"/>
        <v>-1.0371340528817572</v>
      </c>
      <c r="Y196" s="275">
        <f t="shared" si="61"/>
        <v>-1.0288071139324035</v>
      </c>
      <c r="Z196" s="275">
        <f t="shared" si="61"/>
        <v>-1.0204191293100888</v>
      </c>
      <c r="AA196" s="275">
        <f t="shared" si="61"/>
        <v>-1.0119694252466211</v>
      </c>
      <c r="AB196" s="275">
        <f t="shared" si="61"/>
        <v>-1.0034573180219186</v>
      </c>
      <c r="AC196" s="288">
        <f t="shared" si="61"/>
        <v>-0.99488211377958446</v>
      </c>
      <c r="AD196" s="369">
        <f t="shared" si="32"/>
        <v>-26.12318432720685</v>
      </c>
    </row>
    <row r="197" spans="1:30" s="53" customFormat="1" ht="12">
      <c r="A197" s="44"/>
      <c r="B197" s="70"/>
      <c r="C197" s="319" t="s">
        <v>155</v>
      </c>
      <c r="D197" s="273"/>
      <c r="E197" s="236"/>
      <c r="F197" s="275">
        <f>F196*F195</f>
        <v>0</v>
      </c>
      <c r="G197" s="275">
        <f t="shared" ref="G197:AC197" si="62">G196*G195</f>
        <v>0</v>
      </c>
      <c r="H197" s="275">
        <f t="shared" si="62"/>
        <v>0</v>
      </c>
      <c r="I197" s="275">
        <f t="shared" si="62"/>
        <v>0</v>
      </c>
      <c r="J197" s="275">
        <f t="shared" si="62"/>
        <v>-19366.70349471943</v>
      </c>
      <c r="K197" s="325">
        <f t="shared" si="62"/>
        <v>-26269.045692128431</v>
      </c>
      <c r="L197" s="275">
        <f t="shared" si="62"/>
        <v>-26355.098735540811</v>
      </c>
      <c r="M197" s="275">
        <f t="shared" si="62"/>
        <v>-26438.99752751776</v>
      </c>
      <c r="N197" s="275">
        <f t="shared" si="62"/>
        <v>-26520.664612255237</v>
      </c>
      <c r="O197" s="275">
        <f t="shared" si="62"/>
        <v>-26600.020620730727</v>
      </c>
      <c r="P197" s="275">
        <f t="shared" si="62"/>
        <v>-26676.984225903903</v>
      </c>
      <c r="Q197" s="275">
        <f t="shared" si="62"/>
        <v>-26751.472096825975</v>
      </c>
      <c r="R197" s="275">
        <f t="shared" si="62"/>
        <v>-26823.39885162887</v>
      </c>
      <c r="S197" s="275">
        <f t="shared" si="62"/>
        <v>-26892.677009364441</v>
      </c>
      <c r="T197" s="275">
        <f t="shared" si="62"/>
        <v>-26959.216940663227</v>
      </c>
      <c r="U197" s="275">
        <f t="shared" si="62"/>
        <v>-27022.926817181215</v>
      </c>
      <c r="V197" s="275">
        <f t="shared" si="62"/>
        <v>-27083.712559802349</v>
      </c>
      <c r="W197" s="275">
        <f t="shared" si="62"/>
        <v>-27141.477785563133</v>
      </c>
      <c r="X197" s="275">
        <f t="shared" si="62"/>
        <v>-27196.123753265292</v>
      </c>
      <c r="Y197" s="275">
        <f t="shared" si="62"/>
        <v>-27247.549307740868</v>
      </c>
      <c r="Z197" s="275">
        <f t="shared" si="62"/>
        <v>-27295.650822733449</v>
      </c>
      <c r="AA197" s="275">
        <f t="shared" si="62"/>
        <v>-27340.32214235788</v>
      </c>
      <c r="AB197" s="275">
        <f t="shared" si="62"/>
        <v>-27381.454521099909</v>
      </c>
      <c r="AC197" s="288">
        <f t="shared" si="62"/>
        <v>-27418.936562315816</v>
      </c>
      <c r="AD197" s="369">
        <f t="shared" si="32"/>
        <v>-530782.4340793388</v>
      </c>
    </row>
    <row r="198" spans="1:30" s="53" customFormat="1" ht="12">
      <c r="A198" s="44"/>
      <c r="B198" s="70"/>
      <c r="C198" s="78" t="s">
        <v>485</v>
      </c>
      <c r="D198" s="273">
        <f>D144</f>
        <v>5.8860036870687518</v>
      </c>
      <c r="E198" s="236"/>
      <c r="F198" s="275">
        <f t="shared" ref="F198" si="63">$D198*F190</f>
        <v>0</v>
      </c>
      <c r="G198" s="275">
        <f t="shared" ref="G198:AC198" si="64">$D198*G190</f>
        <v>0</v>
      </c>
      <c r="H198" s="275">
        <f t="shared" si="64"/>
        <v>0</v>
      </c>
      <c r="I198" s="275">
        <f t="shared" si="64"/>
        <v>0</v>
      </c>
      <c r="J198" s="275">
        <f t="shared" si="64"/>
        <v>59595.787331571111</v>
      </c>
      <c r="K198" s="275">
        <f t="shared" si="64"/>
        <v>81370.322221421069</v>
      </c>
      <c r="L198" s="275">
        <f t="shared" si="64"/>
        <v>82184.025443635284</v>
      </c>
      <c r="M198" s="275">
        <f t="shared" si="64"/>
        <v>83005.865698071648</v>
      </c>
      <c r="N198" s="275">
        <f t="shared" si="64"/>
        <v>83835.924355052353</v>
      </c>
      <c r="O198" s="275">
        <f t="shared" si="64"/>
        <v>84674.28359860288</v>
      </c>
      <c r="P198" s="275">
        <f t="shared" si="64"/>
        <v>85521.026434588915</v>
      </c>
      <c r="Q198" s="275">
        <f t="shared" si="64"/>
        <v>86376.236698934808</v>
      </c>
      <c r="R198" s="275">
        <f t="shared" si="64"/>
        <v>87239.999065924145</v>
      </c>
      <c r="S198" s="275">
        <f t="shared" si="64"/>
        <v>88112.399056583396</v>
      </c>
      <c r="T198" s="275">
        <f t="shared" si="64"/>
        <v>88993.523047149225</v>
      </c>
      <c r="U198" s="275">
        <f t="shared" si="64"/>
        <v>89883.45827762071</v>
      </c>
      <c r="V198" s="275">
        <f t="shared" si="64"/>
        <v>90782.292860396934</v>
      </c>
      <c r="W198" s="275">
        <f t="shared" si="64"/>
        <v>91690.115789000876</v>
      </c>
      <c r="X198" s="275">
        <f t="shared" si="64"/>
        <v>92607.016946890901</v>
      </c>
      <c r="Y198" s="275">
        <f t="shared" si="64"/>
        <v>93533.08711635982</v>
      </c>
      <c r="Z198" s="275">
        <f t="shared" si="64"/>
        <v>94468.417987523411</v>
      </c>
      <c r="AA198" s="275">
        <f t="shared" si="64"/>
        <v>95413.10216739864</v>
      </c>
      <c r="AB198" s="275">
        <f t="shared" si="64"/>
        <v>96367.23318907262</v>
      </c>
      <c r="AC198" s="288">
        <f t="shared" si="64"/>
        <v>97330.905520963352</v>
      </c>
      <c r="AD198" s="369">
        <f t="shared" ref="AD198:AD261" si="65">SUM(F198:AC198)</f>
        <v>1752985.022806762</v>
      </c>
    </row>
    <row r="199" spans="1:30" s="53" customFormat="1" ht="12">
      <c r="A199" s="44"/>
      <c r="B199" s="70"/>
      <c r="C199" s="243"/>
      <c r="D199" s="273"/>
      <c r="E199" s="236"/>
      <c r="F199" s="275"/>
      <c r="G199" s="275"/>
      <c r="H199" s="275"/>
      <c r="I199" s="275"/>
      <c r="J199" s="275"/>
      <c r="K199" s="275"/>
      <c r="L199" s="275"/>
      <c r="M199" s="275"/>
      <c r="N199" s="275"/>
      <c r="O199" s="275"/>
      <c r="P199" s="275"/>
      <c r="Q199" s="275"/>
      <c r="R199" s="275"/>
      <c r="S199" s="275"/>
      <c r="T199" s="275"/>
      <c r="U199" s="275"/>
      <c r="V199" s="275"/>
      <c r="W199" s="275"/>
      <c r="X199" s="275"/>
      <c r="Y199" s="275"/>
      <c r="Z199" s="275"/>
      <c r="AA199" s="275"/>
      <c r="AB199" s="275"/>
      <c r="AC199" s="288"/>
      <c r="AD199" s="369">
        <f t="shared" si="65"/>
        <v>0</v>
      </c>
    </row>
    <row r="200" spans="1:30" s="53" customFormat="1" ht="12">
      <c r="A200" s="44"/>
      <c r="B200" s="5" t="s">
        <v>368</v>
      </c>
      <c r="C200" s="47"/>
      <c r="D200" s="273"/>
      <c r="E200" s="236"/>
      <c r="F200" s="275"/>
      <c r="G200" s="275"/>
      <c r="H200" s="275"/>
      <c r="I200" s="275"/>
      <c r="J200" s="275"/>
      <c r="K200" s="275"/>
      <c r="L200" s="275"/>
      <c r="M200" s="275"/>
      <c r="N200" s="275"/>
      <c r="O200" s="275"/>
      <c r="P200" s="275"/>
      <c r="Q200" s="275"/>
      <c r="R200" s="275"/>
      <c r="S200" s="275"/>
      <c r="T200" s="275"/>
      <c r="U200" s="275"/>
      <c r="V200" s="275"/>
      <c r="W200" s="275"/>
      <c r="X200" s="275"/>
      <c r="Y200" s="275"/>
      <c r="Z200" s="275"/>
      <c r="AA200" s="275"/>
      <c r="AB200" s="275"/>
      <c r="AC200" s="288"/>
      <c r="AD200" s="369">
        <f t="shared" si="65"/>
        <v>0</v>
      </c>
    </row>
    <row r="201" spans="1:30" s="70" customFormat="1" ht="12">
      <c r="A201" s="55"/>
      <c r="B201" s="5"/>
      <c r="C201" s="78" t="s">
        <v>435</v>
      </c>
      <c r="D201" s="273"/>
      <c r="E201" s="236"/>
      <c r="F201" s="45">
        <f>F31</f>
        <v>0</v>
      </c>
      <c r="G201" s="45">
        <f t="shared" ref="G201:AC201" si="66">G31</f>
        <v>0</v>
      </c>
      <c r="H201" s="45">
        <f t="shared" si="66"/>
        <v>0</v>
      </c>
      <c r="I201" s="45">
        <f t="shared" si="66"/>
        <v>0</v>
      </c>
      <c r="J201" s="45">
        <f t="shared" si="66"/>
        <v>274.74919648794378</v>
      </c>
      <c r="K201" s="45">
        <f t="shared" si="66"/>
        <v>379.96714877496657</v>
      </c>
      <c r="L201" s="45">
        <f t="shared" si="66"/>
        <v>394.10952605237088</v>
      </c>
      <c r="M201" s="45">
        <f t="shared" si="66"/>
        <v>408.77828261204019</v>
      </c>
      <c r="N201" s="45">
        <f t="shared" si="66"/>
        <v>423.99301029086035</v>
      </c>
      <c r="O201" s="45">
        <f t="shared" si="66"/>
        <v>424.30676511847554</v>
      </c>
      <c r="P201" s="45">
        <f t="shared" si="66"/>
        <v>424.62075212466323</v>
      </c>
      <c r="Q201" s="45">
        <f t="shared" si="66"/>
        <v>424.93497148123544</v>
      </c>
      <c r="R201" s="45">
        <f t="shared" si="66"/>
        <v>425.24942336013152</v>
      </c>
      <c r="S201" s="45">
        <f t="shared" si="66"/>
        <v>425.56410793341803</v>
      </c>
      <c r="T201" s="45">
        <f t="shared" si="66"/>
        <v>425.8790253732887</v>
      </c>
      <c r="U201" s="45">
        <f t="shared" si="66"/>
        <v>426.19417585206497</v>
      </c>
      <c r="V201" s="45">
        <f t="shared" si="66"/>
        <v>426.50955954219546</v>
      </c>
      <c r="W201" s="45">
        <f t="shared" si="66"/>
        <v>426.82517661625661</v>
      </c>
      <c r="X201" s="45">
        <f t="shared" si="66"/>
        <v>427.1410272469526</v>
      </c>
      <c r="Y201" s="45">
        <f t="shared" si="66"/>
        <v>427.45711160711545</v>
      </c>
      <c r="Z201" s="45">
        <f t="shared" si="66"/>
        <v>427.77342986970467</v>
      </c>
      <c r="AA201" s="45">
        <f t="shared" si="66"/>
        <v>428.08998220780819</v>
      </c>
      <c r="AB201" s="45">
        <f t="shared" si="66"/>
        <v>428.40676879464201</v>
      </c>
      <c r="AC201" s="283">
        <f t="shared" si="66"/>
        <v>428.72378980355001</v>
      </c>
      <c r="AD201" s="361">
        <f t="shared" si="65"/>
        <v>8279.2732311496857</v>
      </c>
    </row>
    <row r="202" spans="1:30" s="70" customFormat="1" ht="12">
      <c r="A202" s="55"/>
      <c r="B202" s="5"/>
      <c r="C202" s="78" t="s">
        <v>448</v>
      </c>
      <c r="D202" s="273"/>
      <c r="E202" s="236"/>
      <c r="F202" s="275">
        <f>F163*$D$177</f>
        <v>-1.5551814860373909</v>
      </c>
      <c r="G202" s="275">
        <f t="shared" ref="G202:AC202" si="67">G163*$D$177</f>
        <v>-1.5478484947696245</v>
      </c>
      <c r="H202" s="275">
        <f t="shared" si="67"/>
        <v>-1.5404650720309876</v>
      </c>
      <c r="I202" s="275">
        <f t="shared" si="67"/>
        <v>-1.5330306957748103</v>
      </c>
      <c r="J202" s="275">
        <f t="shared" si="67"/>
        <v>-1.5255448367241145</v>
      </c>
      <c r="K202" s="275">
        <f t="shared" si="67"/>
        <v>-1.518006958246001</v>
      </c>
      <c r="L202" s="275">
        <f t="shared" si="67"/>
        <v>-1.5104165162234153</v>
      </c>
      <c r="M202" s="275">
        <f t="shared" si="67"/>
        <v>-1.5027729589242194</v>
      </c>
      <c r="N202" s="275">
        <f t="shared" si="67"/>
        <v>-1.4950757268675043</v>
      </c>
      <c r="O202" s="275">
        <f t="shared" si="67"/>
        <v>-1.4873242526870762</v>
      </c>
      <c r="P202" s="275">
        <f t="shared" si="67"/>
        <v>-1.4795179609920468</v>
      </c>
      <c r="Q202" s="275">
        <f t="shared" si="67"/>
        <v>-1.4716562682244563</v>
      </c>
      <c r="R202" s="275">
        <f t="shared" si="67"/>
        <v>-1.4637385825138516</v>
      </c>
      <c r="S202" s="275">
        <f t="shared" si="67"/>
        <v>-1.455764303528754</v>
      </c>
      <c r="T202" s="275">
        <f t="shared" si="67"/>
        <v>-1.4477328223249168</v>
      </c>
      <c r="U202" s="275">
        <f t="shared" si="67"/>
        <v>-1.4396435211903178</v>
      </c>
      <c r="V202" s="275">
        <f t="shared" si="67"/>
        <v>-1.4314957734867884</v>
      </c>
      <c r="W202" s="275">
        <f t="shared" si="67"/>
        <v>-1.4232889434881963</v>
      </c>
      <c r="X202" s="275">
        <f t="shared" si="67"/>
        <v>-1.4150223862150906</v>
      </c>
      <c r="Y202" s="275">
        <f t="shared" si="67"/>
        <v>-1.4066954472657365</v>
      </c>
      <c r="Z202" s="275">
        <f t="shared" si="67"/>
        <v>-1.3983074626434222</v>
      </c>
      <c r="AA202" s="275">
        <f t="shared" si="67"/>
        <v>-1.3898577585799545</v>
      </c>
      <c r="AB202" s="275">
        <f t="shared" si="67"/>
        <v>-1.3813456513552511</v>
      </c>
      <c r="AC202" s="288">
        <f t="shared" si="67"/>
        <v>-1.3727704471129174</v>
      </c>
      <c r="AD202" s="369">
        <f t="shared" si="65"/>
        <v>-35.192504327206848</v>
      </c>
    </row>
    <row r="203" spans="1:30" s="70" customFormat="1" ht="12">
      <c r="A203" s="55"/>
      <c r="B203" s="5"/>
      <c r="C203" s="319" t="s">
        <v>155</v>
      </c>
      <c r="D203" s="273"/>
      <c r="E203" s="236"/>
      <c r="F203" s="275">
        <f>F202*F201</f>
        <v>0</v>
      </c>
      <c r="G203" s="275">
        <f t="shared" ref="G203:AC203" si="68">G202*G201</f>
        <v>0</v>
      </c>
      <c r="H203" s="275">
        <f t="shared" si="68"/>
        <v>0</v>
      </c>
      <c r="I203" s="275">
        <f t="shared" si="68"/>
        <v>0</v>
      </c>
      <c r="J203" s="275">
        <f t="shared" si="68"/>
        <v>-419.14221809628185</v>
      </c>
      <c r="K203" s="275">
        <f t="shared" si="68"/>
        <v>-576.79277574529272</v>
      </c>
      <c r="L203" s="275">
        <f t="shared" si="68"/>
        <v>-595.26953735048335</v>
      </c>
      <c r="M203" s="275">
        <f t="shared" si="68"/>
        <v>-614.30094930485643</v>
      </c>
      <c r="N203" s="275">
        <f t="shared" si="68"/>
        <v>-633.90165804734931</v>
      </c>
      <c r="O203" s="275">
        <f t="shared" si="68"/>
        <v>-631.08174233990746</v>
      </c>
      <c r="P203" s="275">
        <f t="shared" si="68"/>
        <v>-628.23402937839103</v>
      </c>
      <c r="Q203" s="275">
        <f t="shared" si="68"/>
        <v>-625.35821436814069</v>
      </c>
      <c r="R203" s="275">
        <f t="shared" si="68"/>
        <v>-622.45398816399165</v>
      </c>
      <c r="S203" s="275">
        <f t="shared" si="68"/>
        <v>-619.52103719252773</v>
      </c>
      <c r="T203" s="275">
        <f t="shared" si="68"/>
        <v>-616.55904337265611</v>
      </c>
      <c r="U203" s="275">
        <f t="shared" si="68"/>
        <v>-613.56768403447234</v>
      </c>
      <c r="V203" s="275">
        <f t="shared" si="68"/>
        <v>-610.54663183636455</v>
      </c>
      <c r="W203" s="275">
        <f t="shared" si="68"/>
        <v>-607.49555468031463</v>
      </c>
      <c r="X203" s="275">
        <f t="shared" si="68"/>
        <v>-604.4141156253479</v>
      </c>
      <c r="Y203" s="275">
        <f t="shared" si="68"/>
        <v>-601.30197279909112</v>
      </c>
      <c r="Z203" s="275">
        <f t="shared" si="68"/>
        <v>-598.15877930738066</v>
      </c>
      <c r="AA203" s="275">
        <f t="shared" si="68"/>
        <v>-594.98418314187688</v>
      </c>
      <c r="AB203" s="275">
        <f t="shared" si="68"/>
        <v>-591.77782708563325</v>
      </c>
      <c r="AC203" s="288">
        <f t="shared" si="68"/>
        <v>-588.53934861656376</v>
      </c>
      <c r="AD203" s="369">
        <f t="shared" si="65"/>
        <v>-11993.40129048692</v>
      </c>
    </row>
    <row r="204" spans="1:30" s="70" customFormat="1" ht="12">
      <c r="A204" s="55"/>
      <c r="B204" s="5"/>
      <c r="C204" s="78" t="s">
        <v>499</v>
      </c>
      <c r="D204" s="273">
        <f>D171</f>
        <v>3.8400000000000007</v>
      </c>
      <c r="E204" s="236"/>
      <c r="F204" s="275">
        <f t="shared" ref="F204" si="69">$D204*F201</f>
        <v>0</v>
      </c>
      <c r="G204" s="275">
        <f t="shared" ref="G204:AC204" si="70">$D204*G201</f>
        <v>0</v>
      </c>
      <c r="H204" s="275">
        <f t="shared" si="70"/>
        <v>0</v>
      </c>
      <c r="I204" s="275">
        <f t="shared" si="70"/>
        <v>0</v>
      </c>
      <c r="J204" s="275">
        <f t="shared" si="70"/>
        <v>1055.0369145137042</v>
      </c>
      <c r="K204" s="275">
        <f t="shared" si="70"/>
        <v>1459.0738512958719</v>
      </c>
      <c r="L204" s="275">
        <f t="shared" si="70"/>
        <v>1513.3805800411044</v>
      </c>
      <c r="M204" s="275">
        <f t="shared" si="70"/>
        <v>1569.7086052302345</v>
      </c>
      <c r="N204" s="275">
        <f t="shared" si="70"/>
        <v>1628.133159516904</v>
      </c>
      <c r="O204" s="275">
        <f t="shared" si="70"/>
        <v>1629.3379780549465</v>
      </c>
      <c r="P204" s="275">
        <f t="shared" si="70"/>
        <v>1630.543688158707</v>
      </c>
      <c r="Q204" s="275">
        <f t="shared" si="70"/>
        <v>1631.7502904879443</v>
      </c>
      <c r="R204" s="275">
        <f t="shared" si="70"/>
        <v>1632.9577857029053</v>
      </c>
      <c r="S204" s="275">
        <f t="shared" si="70"/>
        <v>1634.1661744643256</v>
      </c>
      <c r="T204" s="275">
        <f t="shared" si="70"/>
        <v>1635.3754574334289</v>
      </c>
      <c r="U204" s="275">
        <f t="shared" si="70"/>
        <v>1636.5856352719297</v>
      </c>
      <c r="V204" s="275">
        <f t="shared" si="70"/>
        <v>1637.7967086420308</v>
      </c>
      <c r="W204" s="275">
        <f t="shared" si="70"/>
        <v>1639.0086782064257</v>
      </c>
      <c r="X204" s="275">
        <f t="shared" si="70"/>
        <v>1640.2215446282983</v>
      </c>
      <c r="Y204" s="275">
        <f t="shared" si="70"/>
        <v>1641.4353085713237</v>
      </c>
      <c r="Z204" s="275">
        <f t="shared" si="70"/>
        <v>1642.6499706996663</v>
      </c>
      <c r="AA204" s="275">
        <f t="shared" si="70"/>
        <v>1643.8655316779839</v>
      </c>
      <c r="AB204" s="275">
        <f t="shared" si="70"/>
        <v>1645.0819921714256</v>
      </c>
      <c r="AC204" s="288">
        <f t="shared" si="70"/>
        <v>1646.2993528456323</v>
      </c>
      <c r="AD204" s="369">
        <f t="shared" si="65"/>
        <v>31792.40920761479</v>
      </c>
    </row>
    <row r="205" spans="1:30" s="53" customFormat="1" ht="12">
      <c r="A205" s="45"/>
      <c r="B205" s="5"/>
      <c r="C205" s="78"/>
      <c r="D205" s="273"/>
      <c r="E205" s="236"/>
      <c r="F205" s="45"/>
      <c r="G205" s="57"/>
      <c r="AC205" s="283"/>
      <c r="AD205" s="361">
        <f t="shared" si="65"/>
        <v>0</v>
      </c>
    </row>
    <row r="206" spans="1:30" s="53" customFormat="1" ht="12">
      <c r="A206" s="45"/>
      <c r="B206" s="55"/>
      <c r="C206" s="5" t="s">
        <v>503</v>
      </c>
      <c r="D206" s="273"/>
      <c r="E206" s="239"/>
      <c r="F206" s="83">
        <f t="shared" ref="F206:AC206" si="71">F181+F182+F187+F188++F192+F193+F197+F198+F203+F204</f>
        <v>0</v>
      </c>
      <c r="G206" s="83">
        <f t="shared" si="71"/>
        <v>0</v>
      </c>
      <c r="H206" s="83">
        <f t="shared" si="71"/>
        <v>0</v>
      </c>
      <c r="I206" s="83">
        <f t="shared" si="71"/>
        <v>0</v>
      </c>
      <c r="J206" s="83">
        <f t="shared" si="71"/>
        <v>172523.71366752178</v>
      </c>
      <c r="K206" s="83">
        <f t="shared" si="71"/>
        <v>235904.75404664708</v>
      </c>
      <c r="L206" s="83">
        <f t="shared" si="71"/>
        <v>238660.98698021166</v>
      </c>
      <c r="M206" s="83">
        <f t="shared" si="71"/>
        <v>241459.32687251345</v>
      </c>
      <c r="N206" s="83">
        <f t="shared" si="71"/>
        <v>244300.84743792569</v>
      </c>
      <c r="O206" s="83">
        <f t="shared" si="71"/>
        <v>247052.0606500835</v>
      </c>
      <c r="P206" s="83">
        <f t="shared" si="71"/>
        <v>249834.29407676699</v>
      </c>
      <c r="Q206" s="83">
        <f t="shared" si="71"/>
        <v>252647.92801959053</v>
      </c>
      <c r="R206" s="83">
        <f t="shared" si="71"/>
        <v>255493.34805124695</v>
      </c>
      <c r="S206" s="83">
        <f t="shared" si="71"/>
        <v>258370.94510173713</v>
      </c>
      <c r="T206" s="83">
        <f t="shared" si="71"/>
        <v>261281.11554630892</v>
      </c>
      <c r="U206" s="83">
        <f t="shared" si="71"/>
        <v>264224.26129514899</v>
      </c>
      <c r="V206" s="83">
        <f t="shared" si="71"/>
        <v>267200.78988486755</v>
      </c>
      <c r="W206" s="83">
        <f t="shared" si="71"/>
        <v>270211.11457182025</v>
      </c>
      <c r="X206" s="83">
        <f t="shared" si="71"/>
        <v>273255.65442731237</v>
      </c>
      <c r="Y206" s="83">
        <f t="shared" si="71"/>
        <v>276334.83443472936</v>
      </c>
      <c r="Z206" s="83">
        <f t="shared" si="71"/>
        <v>279449.08558864321</v>
      </c>
      <c r="AA206" s="83">
        <f t="shared" si="71"/>
        <v>282598.84499594109</v>
      </c>
      <c r="AB206" s="83">
        <f t="shared" si="71"/>
        <v>285784.55597902799</v>
      </c>
      <c r="AC206" s="292">
        <f t="shared" si="71"/>
        <v>289006.66818115307</v>
      </c>
      <c r="AD206" s="378">
        <f t="shared" si="65"/>
        <v>5145595.129809197</v>
      </c>
    </row>
    <row r="207" spans="1:30" s="53" customFormat="1" ht="12">
      <c r="A207" s="45"/>
      <c r="B207" s="45"/>
      <c r="D207" s="228"/>
      <c r="E207" s="236"/>
      <c r="F207" s="45"/>
      <c r="G207" s="57"/>
      <c r="AC207" s="283"/>
      <c r="AD207" s="361">
        <f t="shared" si="65"/>
        <v>0</v>
      </c>
    </row>
    <row r="208" spans="1:30" s="53" customFormat="1" ht="12">
      <c r="A208" s="45"/>
      <c r="B208" s="5" t="s">
        <v>524</v>
      </c>
      <c r="C208" s="5"/>
      <c r="D208" s="228"/>
      <c r="E208" s="236"/>
      <c r="G208" s="57"/>
      <c r="AC208" s="283"/>
      <c r="AD208" s="361">
        <f t="shared" si="65"/>
        <v>0</v>
      </c>
    </row>
    <row r="209" spans="1:30" s="53" customFormat="1" ht="12">
      <c r="A209" s="45"/>
      <c r="B209" s="55" t="s">
        <v>525</v>
      </c>
      <c r="C209" s="244" t="s">
        <v>526</v>
      </c>
      <c r="D209" s="307">
        <v>5.3999999999999999E-2</v>
      </c>
      <c r="E209" s="236"/>
      <c r="G209" s="57"/>
      <c r="AC209" s="283"/>
      <c r="AD209" s="361">
        <f t="shared" si="65"/>
        <v>0</v>
      </c>
    </row>
    <row r="210" spans="1:30" s="53" customFormat="1" ht="12">
      <c r="A210" s="45"/>
      <c r="C210" s="70" t="s">
        <v>522</v>
      </c>
      <c r="D210" s="228"/>
      <c r="E210" s="236"/>
      <c r="F210" s="275">
        <f>-F37*$D$209</f>
        <v>0</v>
      </c>
      <c r="G210" s="275">
        <f t="shared" ref="G210:AC210" si="72">-G37*$D$209</f>
        <v>0</v>
      </c>
      <c r="H210" s="275">
        <f t="shared" si="72"/>
        <v>0</v>
      </c>
      <c r="I210" s="275">
        <f t="shared" si="72"/>
        <v>0</v>
      </c>
      <c r="J210" s="275">
        <f t="shared" si="72"/>
        <v>10295.027960584088</v>
      </c>
      <c r="K210" s="275">
        <f t="shared" si="72"/>
        <v>14121.949851569369</v>
      </c>
      <c r="L210" s="275">
        <f t="shared" si="72"/>
        <v>14403.184885882785</v>
      </c>
      <c r="M210" s="275">
        <f t="shared" si="72"/>
        <v>14692.443648781722</v>
      </c>
      <c r="N210" s="275">
        <f t="shared" si="72"/>
        <v>14990.000345050217</v>
      </c>
      <c r="O210" s="275">
        <f t="shared" si="72"/>
        <v>15086.749311819798</v>
      </c>
      <c r="P210" s="275">
        <f t="shared" si="72"/>
        <v>15184.426436489923</v>
      </c>
      <c r="Q210" s="275">
        <f t="shared" si="72"/>
        <v>15283.040971534107</v>
      </c>
      <c r="R210" s="275">
        <f t="shared" si="72"/>
        <v>15382.602261929023</v>
      </c>
      <c r="S210" s="275">
        <f t="shared" si="72"/>
        <v>15483.119746079599</v>
      </c>
      <c r="T210" s="275">
        <f t="shared" si="72"/>
        <v>15584.602956753211</v>
      </c>
      <c r="U210" s="275">
        <f t="shared" si="72"/>
        <v>15687.061522023338</v>
      </c>
      <c r="V210" s="275">
        <f t="shared" si="72"/>
        <v>15790.505166222589</v>
      </c>
      <c r="W210" s="275">
        <f t="shared" si="72"/>
        <v>15894.943710905271</v>
      </c>
      <c r="X210" s="275">
        <f t="shared" si="72"/>
        <v>16000.387075819621</v>
      </c>
      <c r="Y210" s="275">
        <f t="shared" si="72"/>
        <v>16106.845279889685</v>
      </c>
      <c r="Z210" s="275">
        <f t="shared" si="72"/>
        <v>16214.328442207106</v>
      </c>
      <c r="AA210" s="275">
        <f t="shared" si="72"/>
        <v>16322.846783032741</v>
      </c>
      <c r="AB210" s="275">
        <f t="shared" si="72"/>
        <v>16432.41062480837</v>
      </c>
      <c r="AC210" s="288">
        <f t="shared" si="72"/>
        <v>16543.030393178477</v>
      </c>
      <c r="AD210" s="369">
        <f t="shared" si="65"/>
        <v>305499.50737456104</v>
      </c>
    </row>
    <row r="211" spans="1:30" s="53" customFormat="1" ht="12">
      <c r="A211" s="45"/>
      <c r="B211" s="45"/>
      <c r="C211" s="244" t="s">
        <v>531</v>
      </c>
      <c r="D211" s="228">
        <f>3.2*0.77</f>
        <v>2.4640000000000004</v>
      </c>
      <c r="E211" s="236"/>
      <c r="G211" s="57"/>
      <c r="AC211" s="283"/>
      <c r="AD211" s="361">
        <f t="shared" si="65"/>
        <v>0</v>
      </c>
    </row>
    <row r="212" spans="1:30" s="53" customFormat="1" ht="12">
      <c r="A212" s="45"/>
      <c r="B212" s="45"/>
      <c r="C212" s="243" t="s">
        <v>400</v>
      </c>
      <c r="D212" s="273">
        <v>13.91</v>
      </c>
      <c r="E212" s="236"/>
      <c r="G212" s="57"/>
      <c r="AC212" s="283"/>
      <c r="AD212" s="361">
        <f t="shared" si="65"/>
        <v>0</v>
      </c>
    </row>
    <row r="213" spans="1:30" s="53" customFormat="1" ht="12">
      <c r="A213" s="45"/>
      <c r="B213" s="45"/>
      <c r="C213" s="70" t="s">
        <v>523</v>
      </c>
      <c r="D213" s="228"/>
      <c r="E213" s="236"/>
      <c r="F213" s="308">
        <f>($D$211/3600)*$D$212*F44</f>
        <v>0</v>
      </c>
      <c r="G213" s="308">
        <f t="shared" ref="G213:AC213" si="73">($D$211/3600)*$D$212*G44</f>
        <v>0</v>
      </c>
      <c r="H213" s="308">
        <f t="shared" si="73"/>
        <v>0</v>
      </c>
      <c r="I213" s="308">
        <f t="shared" si="73"/>
        <v>0</v>
      </c>
      <c r="J213" s="308">
        <f t="shared" si="73"/>
        <v>286396.51712634205</v>
      </c>
      <c r="K213" s="308">
        <f t="shared" si="73"/>
        <v>286336.10880660574</v>
      </c>
      <c r="L213" s="308">
        <f t="shared" si="73"/>
        <v>286331.97675288469</v>
      </c>
      <c r="M213" s="308">
        <f t="shared" si="73"/>
        <v>286327.73270118545</v>
      </c>
      <c r="N213" s="308">
        <f t="shared" si="73"/>
        <v>286323.37290091405</v>
      </c>
      <c r="O213" s="308">
        <f t="shared" si="73"/>
        <v>286321.73324021942</v>
      </c>
      <c r="P213" s="308">
        <f t="shared" si="73"/>
        <v>286320.07771634083</v>
      </c>
      <c r="Q213" s="308">
        <f t="shared" si="73"/>
        <v>286318.40617104102</v>
      </c>
      <c r="R213" s="308">
        <f t="shared" si="73"/>
        <v>286316.71844450093</v>
      </c>
      <c r="S213" s="308">
        <f t="shared" si="73"/>
        <v>286315.01437530346</v>
      </c>
      <c r="T213" s="308">
        <f t="shared" si="73"/>
        <v>286313.29380041768</v>
      </c>
      <c r="U213" s="308">
        <f t="shared" si="73"/>
        <v>286311.5565551825</v>
      </c>
      <c r="V213" s="308">
        <f t="shared" si="73"/>
        <v>286309.80247329065</v>
      </c>
      <c r="W213" s="308">
        <f t="shared" si="73"/>
        <v>286308.03138677217</v>
      </c>
      <c r="X213" s="308">
        <f t="shared" si="73"/>
        <v>286306.24312597746</v>
      </c>
      <c r="Y213" s="308">
        <f t="shared" si="73"/>
        <v>286304.4375195608</v>
      </c>
      <c r="Z213" s="308">
        <f t="shared" si="73"/>
        <v>286302.61439446348</v>
      </c>
      <c r="AA213" s="308">
        <f t="shared" si="73"/>
        <v>286300.77357589622</v>
      </c>
      <c r="AB213" s="308">
        <f t="shared" si="73"/>
        <v>286298.9148873224</v>
      </c>
      <c r="AC213" s="411">
        <f t="shared" si="73"/>
        <v>286297.03815044009</v>
      </c>
      <c r="AD213" s="379">
        <f t="shared" si="65"/>
        <v>5726360.3641046612</v>
      </c>
    </row>
    <row r="214" spans="1:30" s="53" customFormat="1" ht="12">
      <c r="A214" s="45"/>
      <c r="B214" s="55" t="s">
        <v>404</v>
      </c>
      <c r="C214" s="244" t="s">
        <v>532</v>
      </c>
      <c r="D214" s="228">
        <v>2</v>
      </c>
      <c r="E214" s="236"/>
      <c r="G214" s="57"/>
      <c r="AC214" s="283"/>
      <c r="AD214" s="361">
        <f t="shared" si="65"/>
        <v>0</v>
      </c>
    </row>
    <row r="215" spans="1:30" s="53" customFormat="1" ht="12">
      <c r="A215" s="45"/>
      <c r="B215" s="45"/>
      <c r="C215" s="243" t="s">
        <v>400</v>
      </c>
      <c r="D215" s="273">
        <v>13.91</v>
      </c>
      <c r="E215" s="236"/>
      <c r="F215" s="45"/>
      <c r="G215" s="57"/>
      <c r="AC215" s="283"/>
      <c r="AD215" s="361">
        <f t="shared" si="65"/>
        <v>0</v>
      </c>
    </row>
    <row r="216" spans="1:30" s="53" customFormat="1" ht="12">
      <c r="A216" s="45"/>
      <c r="B216" s="45"/>
      <c r="C216" s="243" t="s">
        <v>538</v>
      </c>
      <c r="D216" s="344">
        <f>'Mode Operating Assumptions'!C45</f>
        <v>8.4250000000000002E-3</v>
      </c>
      <c r="E216" s="236"/>
      <c r="F216" s="45"/>
      <c r="G216" s="57"/>
      <c r="AC216" s="283"/>
      <c r="AD216" s="361">
        <f t="shared" si="65"/>
        <v>0</v>
      </c>
    </row>
    <row r="217" spans="1:30" s="53" customFormat="1" ht="12">
      <c r="A217" s="45"/>
      <c r="B217" s="45"/>
      <c r="C217" s="70" t="s">
        <v>533</v>
      </c>
      <c r="D217" s="228"/>
      <c r="E217" s="236"/>
      <c r="F217" s="45">
        <f>-(($D$214/3600*$D$215)+$D$216)*F42</f>
        <v>0</v>
      </c>
      <c r="G217" s="45">
        <f>-(($D$214/3600*$D$215)+$D$216)*G42</f>
        <v>0</v>
      </c>
      <c r="H217" s="275">
        <f>-(($D$214/3600*$D$215)+$D$216)*H42</f>
        <v>-239759.71875000003</v>
      </c>
      <c r="I217" s="275">
        <f>-(($D$214/3600*$D$215)+$D$216)*I42</f>
        <v>-359639.57812500006</v>
      </c>
      <c r="J217" s="45">
        <f>-(($D$214/3600*$D$215)+$D$216)*J42</f>
        <v>0</v>
      </c>
      <c r="AC217" s="283"/>
      <c r="AD217" s="361">
        <f t="shared" si="65"/>
        <v>-599399.29687500012</v>
      </c>
    </row>
    <row r="218" spans="1:30" s="53" customFormat="1" ht="12">
      <c r="A218" s="45"/>
      <c r="B218" s="45"/>
      <c r="C218" s="5"/>
      <c r="D218" s="228"/>
      <c r="E218" s="236"/>
      <c r="F218" s="45"/>
      <c r="G218" s="57"/>
      <c r="AC218" s="283"/>
      <c r="AD218" s="361">
        <f t="shared" si="65"/>
        <v>0</v>
      </c>
    </row>
    <row r="219" spans="1:30" s="53" customFormat="1" ht="12">
      <c r="A219" s="45"/>
      <c r="B219" s="45"/>
      <c r="C219" s="5" t="s">
        <v>534</v>
      </c>
      <c r="D219" s="228"/>
      <c r="E219" s="236"/>
      <c r="F219" s="309">
        <f>F210+F213+F217</f>
        <v>0</v>
      </c>
      <c r="G219" s="309">
        <f t="shared" ref="G219:AC219" si="74">G210+G213+G217</f>
        <v>0</v>
      </c>
      <c r="H219" s="309">
        <f t="shared" si="74"/>
        <v>-239759.71875000003</v>
      </c>
      <c r="I219" s="309">
        <f t="shared" si="74"/>
        <v>-359639.57812500006</v>
      </c>
      <c r="J219" s="309">
        <f t="shared" si="74"/>
        <v>296691.54508692614</v>
      </c>
      <c r="K219" s="309">
        <f t="shared" si="74"/>
        <v>300458.05865817511</v>
      </c>
      <c r="L219" s="309">
        <f t="shared" si="74"/>
        <v>300735.16163876746</v>
      </c>
      <c r="M219" s="309">
        <f t="shared" si="74"/>
        <v>301020.17634996719</v>
      </c>
      <c r="N219" s="309">
        <f t="shared" si="74"/>
        <v>301313.37324596429</v>
      </c>
      <c r="O219" s="309">
        <f t="shared" si="74"/>
        <v>301408.4825520392</v>
      </c>
      <c r="P219" s="309">
        <f t="shared" si="74"/>
        <v>301504.50415283075</v>
      </c>
      <c r="Q219" s="309">
        <f t="shared" si="74"/>
        <v>301601.44714257511</v>
      </c>
      <c r="R219" s="309">
        <f t="shared" si="74"/>
        <v>301699.32070642995</v>
      </c>
      <c r="S219" s="309">
        <f t="shared" si="74"/>
        <v>301798.13412138307</v>
      </c>
      <c r="T219" s="309">
        <f t="shared" si="74"/>
        <v>301897.89675717091</v>
      </c>
      <c r="U219" s="309">
        <f t="shared" si="74"/>
        <v>301998.61807720584</v>
      </c>
      <c r="V219" s="309">
        <f t="shared" si="74"/>
        <v>302100.30763951322</v>
      </c>
      <c r="W219" s="309">
        <f t="shared" si="74"/>
        <v>302202.97509767744</v>
      </c>
      <c r="X219" s="309">
        <f t="shared" si="74"/>
        <v>302306.63020179706</v>
      </c>
      <c r="Y219" s="309">
        <f t="shared" si="74"/>
        <v>302411.28279945051</v>
      </c>
      <c r="Z219" s="309">
        <f t="shared" si="74"/>
        <v>302516.94283667061</v>
      </c>
      <c r="AA219" s="309">
        <f t="shared" si="74"/>
        <v>302623.62035892898</v>
      </c>
      <c r="AB219" s="309">
        <f t="shared" si="74"/>
        <v>302731.32551213074</v>
      </c>
      <c r="AC219" s="340">
        <f t="shared" si="74"/>
        <v>302840.06854361854</v>
      </c>
      <c r="AD219" s="370">
        <f t="shared" si="65"/>
        <v>5432460.5746042216</v>
      </c>
    </row>
    <row r="220" spans="1:30" s="53" customFormat="1" ht="12">
      <c r="A220" s="45"/>
      <c r="B220" s="45"/>
      <c r="C220" s="5"/>
      <c r="D220" s="228"/>
      <c r="E220" s="236"/>
      <c r="F220" s="45"/>
      <c r="G220" s="57"/>
      <c r="AC220" s="283"/>
      <c r="AD220" s="361">
        <f t="shared" si="65"/>
        <v>0</v>
      </c>
    </row>
    <row r="221" spans="1:30" s="53" customFormat="1" ht="12">
      <c r="A221" s="45"/>
      <c r="B221" s="55" t="s">
        <v>518</v>
      </c>
      <c r="C221" s="5"/>
      <c r="D221" s="228"/>
      <c r="E221" s="236"/>
      <c r="F221" s="252">
        <f>F38</f>
        <v>0</v>
      </c>
      <c r="G221" s="252">
        <f t="shared" ref="G221:AC221" si="75">G38</f>
        <v>0</v>
      </c>
      <c r="H221" s="252">
        <f t="shared" si="75"/>
        <v>0</v>
      </c>
      <c r="I221" s="252">
        <f t="shared" si="75"/>
        <v>0</v>
      </c>
      <c r="J221" s="252">
        <f t="shared" si="75"/>
        <v>30759.789281862322</v>
      </c>
      <c r="K221" s="252">
        <f t="shared" si="75"/>
        <v>41321.688558233735</v>
      </c>
      <c r="L221" s="252">
        <f t="shared" si="75"/>
        <v>41290.976344390852</v>
      </c>
      <c r="M221" s="252">
        <f t="shared" si="75"/>
        <v>41284.029288817044</v>
      </c>
      <c r="N221" s="252">
        <f t="shared" si="75"/>
        <v>42097.823834945571</v>
      </c>
      <c r="O221" s="252">
        <f t="shared" si="75"/>
        <v>42347.108250984398</v>
      </c>
      <c r="P221" s="252">
        <f t="shared" si="75"/>
        <v>42598.732805883767</v>
      </c>
      <c r="Q221" s="252">
        <f t="shared" si="75"/>
        <v>42852.719731274687</v>
      </c>
      <c r="R221" s="252">
        <f t="shared" si="75"/>
        <v>43109.091471033127</v>
      </c>
      <c r="S221" s="252">
        <f t="shared" si="75"/>
        <v>43367.870683310692</v>
      </c>
      <c r="T221" s="252">
        <f t="shared" si="75"/>
        <v>43629.080242584372</v>
      </c>
      <c r="U221" s="252">
        <f t="shared" si="75"/>
        <v>43892.743241726217</v>
      </c>
      <c r="V221" s="252">
        <f t="shared" si="75"/>
        <v>44158.882994092746</v>
      </c>
      <c r="W221" s="252">
        <f t="shared" si="75"/>
        <v>44427.523035634324</v>
      </c>
      <c r="X221" s="252">
        <f t="shared" si="75"/>
        <v>44698.687127025005</v>
      </c>
      <c r="Y221" s="252">
        <f t="shared" si="75"/>
        <v>44972.399255812445</v>
      </c>
      <c r="Z221" s="252">
        <f t="shared" si="75"/>
        <v>45248.683638588707</v>
      </c>
      <c r="AA221" s="252">
        <f t="shared" si="75"/>
        <v>45527.564723181778</v>
      </c>
      <c r="AB221" s="252">
        <f t="shared" si="75"/>
        <v>45809.067190868074</v>
      </c>
      <c r="AC221" s="286">
        <f t="shared" si="75"/>
        <v>46093.215958606204</v>
      </c>
      <c r="AD221" s="371">
        <f t="shared" si="65"/>
        <v>859487.67765885603</v>
      </c>
    </row>
    <row r="222" spans="1:30" s="5" customFormat="1" ht="12">
      <c r="A222" s="58"/>
      <c r="B222" s="58"/>
      <c r="C222" s="5" t="s">
        <v>612</v>
      </c>
      <c r="D222" s="231"/>
      <c r="E222" s="239"/>
      <c r="F222" s="83">
        <f>F221</f>
        <v>0</v>
      </c>
      <c r="G222" s="83">
        <f t="shared" ref="G222:AC222" si="76">G221</f>
        <v>0</v>
      </c>
      <c r="H222" s="83">
        <f t="shared" si="76"/>
        <v>0</v>
      </c>
      <c r="I222" s="83">
        <f>I221</f>
        <v>0</v>
      </c>
      <c r="J222" s="83">
        <f t="shared" si="76"/>
        <v>30759.789281862322</v>
      </c>
      <c r="K222" s="83">
        <f t="shared" si="76"/>
        <v>41321.688558233735</v>
      </c>
      <c r="L222" s="83">
        <f t="shared" si="76"/>
        <v>41290.976344390852</v>
      </c>
      <c r="M222" s="83">
        <f t="shared" si="76"/>
        <v>41284.029288817044</v>
      </c>
      <c r="N222" s="83">
        <f t="shared" si="76"/>
        <v>42097.823834945571</v>
      </c>
      <c r="O222" s="83">
        <f t="shared" si="76"/>
        <v>42347.108250984398</v>
      </c>
      <c r="P222" s="83">
        <f t="shared" si="76"/>
        <v>42598.732805883767</v>
      </c>
      <c r="Q222" s="83">
        <f t="shared" si="76"/>
        <v>42852.719731274687</v>
      </c>
      <c r="R222" s="83">
        <f t="shared" si="76"/>
        <v>43109.091471033127</v>
      </c>
      <c r="S222" s="83">
        <f t="shared" si="76"/>
        <v>43367.870683310692</v>
      </c>
      <c r="T222" s="83">
        <f t="shared" si="76"/>
        <v>43629.080242584372</v>
      </c>
      <c r="U222" s="83">
        <f t="shared" si="76"/>
        <v>43892.743241726217</v>
      </c>
      <c r="V222" s="83">
        <f t="shared" si="76"/>
        <v>44158.882994092746</v>
      </c>
      <c r="W222" s="83">
        <f t="shared" si="76"/>
        <v>44427.523035634324</v>
      </c>
      <c r="X222" s="83">
        <f t="shared" si="76"/>
        <v>44698.687127025005</v>
      </c>
      <c r="Y222" s="83">
        <f t="shared" si="76"/>
        <v>44972.399255812445</v>
      </c>
      <c r="Z222" s="83">
        <f t="shared" si="76"/>
        <v>45248.683638588707</v>
      </c>
      <c r="AA222" s="83">
        <f t="shared" si="76"/>
        <v>45527.564723181778</v>
      </c>
      <c r="AB222" s="83">
        <f t="shared" si="76"/>
        <v>45809.067190868074</v>
      </c>
      <c r="AC222" s="292">
        <f t="shared" si="76"/>
        <v>46093.215958606204</v>
      </c>
      <c r="AD222" s="378">
        <f t="shared" si="65"/>
        <v>859487.67765885603</v>
      </c>
    </row>
    <row r="223" spans="1:30" s="112" customFormat="1" ht="12">
      <c r="A223" s="109"/>
      <c r="B223" s="109"/>
      <c r="C223" s="110"/>
      <c r="D223" s="227"/>
      <c r="E223" s="235"/>
      <c r="F223" s="111"/>
      <c r="G223" s="111"/>
      <c r="H223" s="111"/>
      <c r="I223" s="111"/>
      <c r="J223" s="111"/>
      <c r="K223" s="111"/>
      <c r="L223" s="111"/>
      <c r="M223" s="111"/>
      <c r="N223" s="111"/>
      <c r="O223" s="111"/>
      <c r="P223" s="111"/>
      <c r="Q223" s="111"/>
      <c r="R223" s="111"/>
      <c r="S223" s="111"/>
      <c r="T223" s="111"/>
      <c r="U223" s="111"/>
      <c r="V223" s="111"/>
      <c r="W223" s="111"/>
      <c r="X223" s="111"/>
      <c r="Y223" s="111"/>
      <c r="Z223" s="111"/>
      <c r="AC223" s="282"/>
      <c r="AD223" s="360">
        <f t="shared" si="65"/>
        <v>0</v>
      </c>
    </row>
    <row r="224" spans="1:30" s="53" customFormat="1" ht="12">
      <c r="A224" s="58" t="s">
        <v>360</v>
      </c>
      <c r="B224" s="58"/>
      <c r="D224" s="228"/>
      <c r="E224" s="236"/>
      <c r="F224" s="45"/>
      <c r="G224" s="57"/>
      <c r="AC224" s="283"/>
      <c r="AD224" s="361">
        <f t="shared" si="65"/>
        <v>0</v>
      </c>
    </row>
    <row r="225" spans="1:30" s="53" customFormat="1" ht="12">
      <c r="A225" s="55"/>
      <c r="B225" s="55"/>
      <c r="D225" s="228"/>
      <c r="E225" s="236"/>
      <c r="F225" s="45"/>
      <c r="G225" s="57"/>
      <c r="AC225" s="283"/>
      <c r="AD225" s="361">
        <f t="shared" si="65"/>
        <v>0</v>
      </c>
    </row>
    <row r="226" spans="1:30" s="53" customFormat="1" ht="12">
      <c r="A226" s="45"/>
      <c r="B226" s="45"/>
      <c r="C226" s="46" t="s">
        <v>88</v>
      </c>
      <c r="D226" s="228"/>
      <c r="E226" s="236"/>
      <c r="F226" s="45"/>
      <c r="G226" s="57"/>
      <c r="L226" s="61"/>
      <c r="AC226" s="283"/>
      <c r="AD226" s="361">
        <f t="shared" si="65"/>
        <v>0</v>
      </c>
    </row>
    <row r="227" spans="1:30" s="53" customFormat="1" ht="12">
      <c r="A227" s="45"/>
      <c r="B227" s="45"/>
      <c r="C227" s="78" t="s">
        <v>42</v>
      </c>
      <c r="D227" s="228"/>
      <c r="E227" s="236"/>
      <c r="F227" s="45"/>
      <c r="G227" s="57"/>
      <c r="L227" s="61"/>
      <c r="AC227" s="283"/>
      <c r="AD227" s="361">
        <f t="shared" si="65"/>
        <v>0</v>
      </c>
    </row>
    <row r="228" spans="1:30" s="53" customFormat="1" ht="12">
      <c r="A228" s="45"/>
      <c r="B228" s="45"/>
      <c r="C228" s="48" t="s">
        <v>97</v>
      </c>
      <c r="D228" s="228"/>
      <c r="E228" s="238"/>
      <c r="F228" s="71">
        <f>((('Emissions Assumptions'!D9/907185)+('Emissions Assumptions'!D11/907185))*'Forest Glen'!F36)+(('Emissions Assumptions'!D10/907185)*'Forest Glen'!F37)</f>
        <v>0</v>
      </c>
      <c r="G228" s="71">
        <f>((('Emissions Assumptions'!E9/907185)+('Emissions Assumptions'!E11/907185))*'Forest Glen'!G36)+(('Emissions Assumptions'!E10/907185)*'Forest Glen'!G37)</f>
        <v>0</v>
      </c>
      <c r="H228" s="71">
        <f>((('Emissions Assumptions'!F9/907185)+('Emissions Assumptions'!F11/907185))*'Forest Glen'!H36)+(('Emissions Assumptions'!F10/907185)*'Forest Glen'!H37)</f>
        <v>0</v>
      </c>
      <c r="I228" s="71">
        <f>((('Emissions Assumptions'!G9/907185)+('Emissions Assumptions'!G11/907185))*'Forest Glen'!I36)+(('Emissions Assumptions'!G10/907185)*'Forest Glen'!I37)</f>
        <v>0</v>
      </c>
      <c r="J228" s="71">
        <f>((('Emissions Assumptions'!H9/907185)+('Emissions Assumptions'!H11/907185))*'Forest Glen'!J36)+(('Emissions Assumptions'!H10/907185)*'Forest Glen'!J37)</f>
        <v>-7.0962567339840771E-2</v>
      </c>
      <c r="K228" s="71">
        <f>((('Emissions Assumptions'!I9/907185)+('Emissions Assumptions'!I11/907185))*'Forest Glen'!K36)+(('Emissions Assumptions'!I10/907185)*'Forest Glen'!K37)</f>
        <v>-9.165657642138858E-2</v>
      </c>
      <c r="L228" s="71">
        <f>((('Emissions Assumptions'!J9/907185)+('Emissions Assumptions'!J11/907185))*'Forest Glen'!L36)+(('Emissions Assumptions'!J10/907185)*'Forest Glen'!L37)</f>
        <v>-8.7650600165133347E-2</v>
      </c>
      <c r="M228" s="71">
        <f>((('Emissions Assumptions'!K9/907185)+('Emissions Assumptions'!K11/907185))*'Forest Glen'!M36)+(('Emissions Assumptions'!K10/907185)*'Forest Glen'!M37)</f>
        <v>-8.3472863503172817E-2</v>
      </c>
      <c r="N228" s="71">
        <f>((('Emissions Assumptions'!L9/907185)+('Emissions Assumptions'!L11/907185))*'Forest Glen'!N36)+(('Emissions Assumptions'!L10/907185)*'Forest Glen'!N37)</f>
        <v>-7.9115832371386585E-2</v>
      </c>
      <c r="O228" s="71">
        <f>((('Emissions Assumptions'!M9/907185)+('Emissions Assumptions'!M11/907185))*'Forest Glen'!O36)+(('Emissions Assumptions'!M10/907185)*'Forest Glen'!O37)</f>
        <v>-7.3634295330687466E-2</v>
      </c>
      <c r="P228" s="71">
        <f>((('Emissions Assumptions'!N9/907185)+('Emissions Assumptions'!N11/907185))*'Forest Glen'!P36)+(('Emissions Assumptions'!N10/907185)*'Forest Glen'!P37)</f>
        <v>-7.3244464284420593E-2</v>
      </c>
      <c r="Q228" s="71">
        <f>((('Emissions Assumptions'!O9/907185)+('Emissions Assumptions'!O11/907185))*'Forest Glen'!Q36)+(('Emissions Assumptions'!O10/907185)*'Forest Glen'!Q37)</f>
        <v>-7.2847226313245972E-2</v>
      </c>
      <c r="R228" s="71">
        <f>((('Emissions Assumptions'!P9/907185)+('Emissions Assumptions'!P11/907185))*'Forest Glen'!R36)+(('Emissions Assumptions'!P10/907185)*'Forest Glen'!R37)</f>
        <v>-7.2442452310536906E-2</v>
      </c>
      <c r="S228" s="71">
        <f>((('Emissions Assumptions'!Q9/907185)+('Emissions Assumptions'!Q11/907185))*'Forest Glen'!S36)+(('Emissions Assumptions'!Q10/907185)*'Forest Glen'!S37)</f>
        <v>-7.2030011294453314E-2</v>
      </c>
      <c r="T228" s="71">
        <f>((('Emissions Assumptions'!R9/907185)+('Emissions Assumptions'!R11/907185))*'Forest Glen'!T36)+(('Emissions Assumptions'!R10/907185)*'Forest Glen'!T37)</f>
        <v>-7.1609770383308888E-2</v>
      </c>
      <c r="U228" s="71">
        <f>((('Emissions Assumptions'!S9/907185)+('Emissions Assumptions'!S11/907185))*'Forest Glen'!U36)+(('Emissions Assumptions'!S10/907185)*'Forest Glen'!U37)</f>
        <v>-7.1181594770633377E-2</v>
      </c>
      <c r="V228" s="71">
        <f>((('Emissions Assumptions'!T9/907185)+('Emissions Assumptions'!T11/907185))*'Forest Glen'!V36)+(('Emissions Assumptions'!T10/907185)*'Forest Glen'!V37)</f>
        <v>-7.0745347699925909E-2</v>
      </c>
      <c r="W228" s="71">
        <f>((('Emissions Assumptions'!U9/907185)+('Emissions Assumptions'!U11/907185))*'Forest Glen'!W36)+(('Emissions Assumptions'!U10/907185)*'Forest Glen'!W37)</f>
        <v>-7.0300890439095737E-2</v>
      </c>
      <c r="X228" s="71">
        <f>((('Emissions Assumptions'!V9/907185)+('Emissions Assumptions'!V11/907185))*'Forest Glen'!X36)+(('Emissions Assumptions'!V10/907185)*'Forest Glen'!X37)</f>
        <v>-6.9848082254587149E-2</v>
      </c>
      <c r="Y228" s="71">
        <f>((('Emissions Assumptions'!W9/907185)+('Emissions Assumptions'!W11/907185))*'Forest Glen'!Y36)+(('Emissions Assumptions'!W10/907185)*'Forest Glen'!Y37)</f>
        <v>-6.9386780385183783E-2</v>
      </c>
      <c r="Z228" s="71">
        <f>((('Emissions Assumptions'!X9/907185)+('Emissions Assumptions'!X11/907185))*'Forest Glen'!Z36)+(('Emissions Assumptions'!X10/907185)*'Forest Glen'!Z37)</f>
        <v>-6.9868703009766178E-2</v>
      </c>
      <c r="AA228" s="71">
        <f>((('Emissions Assumptions'!Y9/907185)+('Emissions Assumptions'!Y11/907185))*'Forest Glen'!AA36)+(('Emissions Assumptions'!Y10/907185)*'Forest Glen'!AA37)</f>
        <v>-7.0355288021161727E-2</v>
      </c>
      <c r="AB228" s="71">
        <f>((('Emissions Assumptions'!Z9/907185)+('Emissions Assumptions'!Z11/907185))*'Forest Glen'!AB36)+(('Emissions Assumptions'!Z10/907185)*'Forest Glen'!AB37)</f>
        <v>-7.084658192717741E-2</v>
      </c>
      <c r="AC228" s="412">
        <f>((('Emissions Assumptions'!AA9/907185)+('Emissions Assumptions'!AA11/907185))*'Forest Glen'!AC36)+(('Emissions Assumptions'!AA10/907185)*'Forest Glen'!AC37)</f>
        <v>-7.1342631700612336E-2</v>
      </c>
      <c r="AD228" s="380">
        <f t="shared" si="65"/>
        <v>-1.4825425599257187</v>
      </c>
    </row>
    <row r="229" spans="1:30" s="53" customFormat="1" ht="12">
      <c r="A229" s="45"/>
      <c r="B229" s="45"/>
      <c r="C229" s="48" t="s">
        <v>98</v>
      </c>
      <c r="D229" s="228"/>
      <c r="E229" s="238"/>
      <c r="F229" s="71">
        <f>(('Emissions Assumptions'!D4/907185)*F36)+(('Emissions Assumptions'!D5/907185)*F37)</f>
        <v>0</v>
      </c>
      <c r="G229" s="71">
        <f>(('Emissions Assumptions'!E4/907185)*G36)+(('Emissions Assumptions'!E5/907185)*G37)</f>
        <v>0</v>
      </c>
      <c r="H229" s="71">
        <f>(('Emissions Assumptions'!F4/907185)*H36)+(('Emissions Assumptions'!F5/907185)*H37)</f>
        <v>0</v>
      </c>
      <c r="I229" s="71">
        <f>(('Emissions Assumptions'!G4/907185)*I36)+(('Emissions Assumptions'!G5/907185)*I37)</f>
        <v>0</v>
      </c>
      <c r="J229" s="71">
        <f>(('Emissions Assumptions'!H4/907185)*J36)+(('Emissions Assumptions'!H5/907185)*J37)</f>
        <v>-7.2319577361344561E-2</v>
      </c>
      <c r="K229" s="71">
        <f>(('Emissions Assumptions'!I4/907185)*K36)+(('Emissions Assumptions'!I5/907185)*K37)</f>
        <v>-9.1044123670348531E-2</v>
      </c>
      <c r="L229" s="71">
        <f>(('Emissions Assumptions'!J4/907185)*L36)+(('Emissions Assumptions'!J5/907185)*L37)</f>
        <v>-8.4525671107935185E-2</v>
      </c>
      <c r="M229" s="71">
        <f>(('Emissions Assumptions'!K4/907185)*M36)+(('Emissions Assumptions'!K5/907185)*M37)</f>
        <v>-7.7729225535432905E-2</v>
      </c>
      <c r="N229" s="71">
        <f>(('Emissions Assumptions'!L4/907185)*N36)+(('Emissions Assumptions'!L5/907185)*N37)</f>
        <v>-7.064251375437508E-2</v>
      </c>
      <c r="O229" s="71">
        <f>(('Emissions Assumptions'!M4/907185)*O36)+(('Emissions Assumptions'!M5/907185)*O37)</f>
        <v>-6.2411964740598291E-2</v>
      </c>
      <c r="P229" s="71">
        <f>(('Emissions Assumptions'!N4/907185)*P36)+(('Emissions Assumptions'!N5/907185)*P37)</f>
        <v>-6.1656344049514811E-2</v>
      </c>
      <c r="Q229" s="71">
        <f>(('Emissions Assumptions'!O4/907185)*Q36)+(('Emissions Assumptions'!O5/907185)*Q37)</f>
        <v>-6.0889155746834171E-2</v>
      </c>
      <c r="R229" s="71">
        <f>(('Emissions Assumptions'!P4/907185)*R36)+(('Emissions Assumptions'!P5/907185)*R37)</f>
        <v>-6.0110215131215811E-2</v>
      </c>
      <c r="S229" s="71">
        <f>(('Emissions Assumptions'!Q4/907185)*S36)+(('Emissions Assumptions'!Q5/907185)*S37)</f>
        <v>-5.9319334915906345E-2</v>
      </c>
      <c r="T229" s="71">
        <f>(('Emissions Assumptions'!R4/907185)*T36)+(('Emissions Assumptions'!R5/907185)*T37)</f>
        <v>-5.8516325195445695E-2</v>
      </c>
      <c r="U229" s="71">
        <f>(('Emissions Assumptions'!S4/907185)*U36)+(('Emissions Assumptions'!S5/907185)*U37)</f>
        <v>-5.7700993411966349E-2</v>
      </c>
      <c r="V229" s="71">
        <f>(('Emissions Assumptions'!T4/907185)*V36)+(('Emissions Assumptions'!T5/907185)*V37)</f>
        <v>-5.6873144321080142E-2</v>
      </c>
      <c r="W229" s="71">
        <f>(('Emissions Assumptions'!U4/907185)*W36)+(('Emissions Assumptions'!U5/907185)*W37)</f>
        <v>-5.6032579957348033E-2</v>
      </c>
      <c r="X229" s="71">
        <f>(('Emissions Assumptions'!V4/907185)*X36)+(('Emissions Assumptions'!V5/907185)*X37)</f>
        <v>-5.5179099599327958E-2</v>
      </c>
      <c r="Y229" s="71">
        <f>(('Emissions Assumptions'!W4/907185)*Y36)+(('Emissions Assumptions'!W5/907185)*Y37)</f>
        <v>-5.4312499734195441E-2</v>
      </c>
      <c r="Z229" s="71">
        <f>(('Emissions Assumptions'!X4/907185)*Z36)+(('Emissions Assumptions'!X5/907185)*Z37)</f>
        <v>-5.4679776452465099E-2</v>
      </c>
      <c r="AA229" s="71">
        <f>(('Emissions Assumptions'!Y4/907185)*AA36)+(('Emissions Assumptions'!Y5/907185)*AA37)</f>
        <v>-5.5050595810190936E-2</v>
      </c>
      <c r="AB229" s="71">
        <f>(('Emissions Assumptions'!Z4/907185)*AB36)+(('Emissions Assumptions'!Z5/907185)*AB37)</f>
        <v>-5.5424993137472997E-2</v>
      </c>
      <c r="AC229" s="412">
        <f>(('Emissions Assumptions'!AA4/907185)*AC36)+(('Emissions Assumptions'!AA5/907185)*AC37)</f>
        <v>-5.5803004117641081E-2</v>
      </c>
      <c r="AD229" s="380">
        <f t="shared" si="65"/>
        <v>-1.2602211377506398</v>
      </c>
    </row>
    <row r="230" spans="1:30" s="53" customFormat="1" ht="12">
      <c r="A230" s="45"/>
      <c r="B230" s="45"/>
      <c r="C230" s="48" t="s">
        <v>99</v>
      </c>
      <c r="D230" s="228"/>
      <c r="E230" s="238"/>
      <c r="F230" s="71">
        <f>(('Emissions Assumptions'!D14/907185)*F36)+(('Emissions Assumptions'!D18/907185)*F37)+(('Emissions Assumptions'!D19/907185)*F36)</f>
        <v>0</v>
      </c>
      <c r="G230" s="71">
        <f>(('Emissions Assumptions'!E14/907185)*G36)+(('Emissions Assumptions'!E18/907185)*G37)+(('Emissions Assumptions'!E19/907185)*G36)</f>
        <v>0</v>
      </c>
      <c r="H230" s="71">
        <f>(('Emissions Assumptions'!F14/907185)*H36)+(('Emissions Assumptions'!F18/907185)*H37)+(('Emissions Assumptions'!F19/907185)*H36)</f>
        <v>0</v>
      </c>
      <c r="I230" s="71">
        <f>(('Emissions Assumptions'!G14/907185)*I36)+(('Emissions Assumptions'!G18/907185)*I37)+(('Emissions Assumptions'!G19/907185)*I36)</f>
        <v>0</v>
      </c>
      <c r="J230" s="71">
        <f>(('Emissions Assumptions'!H14/907185)*J36)+(('Emissions Assumptions'!H18/907185)*J37)+(('Emissions Assumptions'!H19/907185)*J36)</f>
        <v>-0.10134012402065971</v>
      </c>
      <c r="K230" s="71">
        <f>(('Emissions Assumptions'!I14/907185)*K36)+(('Emissions Assumptions'!I18/907185)*K37)+(('Emissions Assumptions'!I19/907185)*K36)</f>
        <v>-0.12737062501581267</v>
      </c>
      <c r="L230" s="71">
        <f>(('Emissions Assumptions'!J14/907185)*L36)+(('Emissions Assumptions'!J18/907185)*L37)+(('Emissions Assumptions'!J19/907185)*L36)</f>
        <v>-0.11802782679234118</v>
      </c>
      <c r="M230" s="71">
        <f>(('Emissions Assumptions'!K14/907185)*M36)+(('Emissions Assumptions'!K18/907185)*M37)+(('Emissions Assumptions'!K19/907185)*M36)</f>
        <v>-0.10828352567036417</v>
      </c>
      <c r="N230" s="71">
        <f>(('Emissions Assumptions'!L14/907185)*N36)+(('Emissions Assumptions'!L18/907185)*N37)+(('Emissions Assumptions'!L19/907185)*N36)</f>
        <v>-9.8119901926114805E-2</v>
      </c>
      <c r="O230" s="71">
        <f>(('Emissions Assumptions'!M14/907185)*O36)+(('Emissions Assumptions'!M18/907185)*O37)+(('Emissions Assumptions'!M19/907185)*O36)</f>
        <v>-8.633776961856772E-2</v>
      </c>
      <c r="P230" s="71">
        <f>(('Emissions Assumptions'!N14/907185)*P36)+(('Emissions Assumptions'!N18/907185)*P37)+(('Emissions Assumptions'!N19/907185)*P36)</f>
        <v>-8.4587651271555667E-2</v>
      </c>
      <c r="Q230" s="71">
        <f>(('Emissions Assumptions'!O14/907185)*Q36)+(('Emissions Assumptions'!O18/907185)*Q37)+(('Emissions Assumptions'!O19/907185)*Q36)</f>
        <v>-8.2812756881284047E-2</v>
      </c>
      <c r="R230" s="71">
        <f>(('Emissions Assumptions'!P14/907185)*R36)+(('Emissions Assumptions'!P18/907185)*R37)+(('Emissions Assumptions'!P19/907185)*R36)</f>
        <v>-8.1012705430146617E-2</v>
      </c>
      <c r="S230" s="71">
        <f>(('Emissions Assumptions'!Q14/907185)*S36)+(('Emissions Assumptions'!Q18/907185)*S37)+(('Emissions Assumptions'!Q19/907185)*S36)</f>
        <v>-7.9187110657909093E-2</v>
      </c>
      <c r="T230" s="71">
        <f>(('Emissions Assumptions'!R14/907185)*T36)+(('Emissions Assumptions'!R18/907185)*T37)+(('Emissions Assumptions'!R19/907185)*T36)</f>
        <v>-7.7335580994843167E-2</v>
      </c>
      <c r="U230" s="71">
        <f>(('Emissions Assumptions'!S14/907185)*U36)+(('Emissions Assumptions'!S18/907185)*U37)+(('Emissions Assumptions'!S19/907185)*U36)</f>
        <v>-7.5457719494048212E-2</v>
      </c>
      <c r="V230" s="71">
        <f>(('Emissions Assumptions'!T14/907185)*V36)+(('Emissions Assumptions'!T18/907185)*V37)+(('Emissions Assumptions'!T19/907185)*V36)</f>
        <v>-7.3553123762949812E-2</v>
      </c>
      <c r="W230" s="71">
        <f>(('Emissions Assumptions'!U14/907185)*W36)+(('Emissions Assumptions'!U18/907185)*W37)+(('Emissions Assumptions'!U19/907185)*W36)</f>
        <v>-7.1621385893965814E-2</v>
      </c>
      <c r="X230" s="71">
        <f>(('Emissions Assumptions'!V14/907185)*X36)+(('Emissions Assumptions'!V18/907185)*X37)+(('Emissions Assumptions'!V19/907185)*X36)</f>
        <v>-6.9662092394330494E-2</v>
      </c>
      <c r="Y230" s="71">
        <f>(('Emissions Assumptions'!W14/907185)*Y36)+(('Emissions Assumptions'!W18/907185)*Y37)+(('Emissions Assumptions'!W19/907185)*Y36)</f>
        <v>-6.7674824115066118E-2</v>
      </c>
      <c r="Z230" s="71">
        <f>(('Emissions Assumptions'!X14/907185)*Z36)+(('Emissions Assumptions'!X18/907185)*Z37)+(('Emissions Assumptions'!X19/907185)*Z36)</f>
        <v>-6.8130413632491421E-2</v>
      </c>
      <c r="AA230" s="71">
        <f>(('Emissions Assumptions'!Y14/907185)*AA36)+(('Emissions Assumptions'!Y18/907185)*AA37)+(('Emissions Assumptions'!Y19/907185)*AA36)</f>
        <v>-6.8590395387635408E-2</v>
      </c>
      <c r="AB230" s="71">
        <f>(('Emissions Assumptions'!Z14/907185)*AB36)+(('Emissions Assumptions'!Z18/907185)*AB37)+(('Emissions Assumptions'!Z19/907185)*AB36)</f>
        <v>-6.9054813181768759E-2</v>
      </c>
      <c r="AC230" s="412">
        <f>(('Emissions Assumptions'!AA14/907185)*AC36)+(('Emissions Assumptions'!AA18/907185)*AC37)+(('Emissions Assumptions'!AA19/907185)*AC36)</f>
        <v>-6.9523711254085269E-2</v>
      </c>
      <c r="AD230" s="380">
        <f t="shared" si="65"/>
        <v>-1.6776840573959402</v>
      </c>
    </row>
    <row r="231" spans="1:30" s="53" customFormat="1" ht="12">
      <c r="A231" s="45"/>
      <c r="B231" s="45"/>
      <c r="C231" s="48" t="s">
        <v>100</v>
      </c>
      <c r="D231" s="228"/>
      <c r="E231" s="238"/>
      <c r="F231" s="71">
        <f>('Emissions Assumptions'!D21/907185)*F37</f>
        <v>0</v>
      </c>
      <c r="G231" s="71">
        <f>('Emissions Assumptions'!E21/907185)*G37</f>
        <v>0</v>
      </c>
      <c r="H231" s="71">
        <f>('Emissions Assumptions'!F21/907185)*H37</f>
        <v>0</v>
      </c>
      <c r="I231" s="71">
        <f>('Emissions Assumptions'!G21/907185)*I37</f>
        <v>0</v>
      </c>
      <c r="J231" s="71">
        <f>('Emissions Assumptions'!H21/907185)*J37</f>
        <v>-86.213269678983991</v>
      </c>
      <c r="K231" s="71">
        <f>('Emissions Assumptions'!I21/907185)*K37</f>
        <v>-115.29406482651859</v>
      </c>
      <c r="L231" s="71">
        <f>('Emissions Assumptions'!J21/907185)*L37</f>
        <v>-114.56417812576839</v>
      </c>
      <c r="M231" s="71">
        <f>('Emissions Assumptions'!K21/907185)*M37</f>
        <v>-113.77825886293371</v>
      </c>
      <c r="N231" s="71">
        <f>('Emissions Assumptions'!L21/907185)*N37</f>
        <v>-112.93331580105551</v>
      </c>
      <c r="O231" s="71">
        <f>('Emissions Assumptions'!M21/907185)*O37</f>
        <v>-110.49266639509918</v>
      </c>
      <c r="P231" s="71">
        <f>('Emissions Assumptions'!N21/907185)*P37</f>
        <v>-109.79029017031385</v>
      </c>
      <c r="Q231" s="71">
        <f>('Emissions Assumptions'!O21/907185)*Q37</f>
        <v>-109.07636440307505</v>
      </c>
      <c r="R231" s="71">
        <f>('Emissions Assumptions'!P21/907185)*R37</f>
        <v>-108.35069234313856</v>
      </c>
      <c r="S231" s="71">
        <f>('Emissions Assumptions'!Q21/907185)*S37</f>
        <v>-107.61307439951582</v>
      </c>
      <c r="T231" s="71">
        <f>('Emissions Assumptions'!R21/907185)*T37</f>
        <v>-106.86330810326326</v>
      </c>
      <c r="U231" s="71">
        <f>('Emissions Assumptions'!S21/907185)*U37</f>
        <v>-106.10118806981266</v>
      </c>
      <c r="V231" s="71">
        <f>('Emissions Assumptions'!T21/907185)*V37</f>
        <v>-105.32650596083502</v>
      </c>
      <c r="W231" s="71">
        <f>('Emissions Assumptions'!U21/907185)*W37</f>
        <v>-104.53905044563346</v>
      </c>
      <c r="X231" s="71">
        <f>('Emissions Assumptions'!V21/907185)*X37</f>
        <v>-103.73860716205954</v>
      </c>
      <c r="Y231" s="71">
        <f>('Emissions Assumptions'!W21/907185)*Y37</f>
        <v>-102.92495867694649</v>
      </c>
      <c r="Z231" s="71">
        <f>('Emissions Assumptions'!X21/907185)*Z37</f>
        <v>-103.61179088075491</v>
      </c>
      <c r="AA231" s="71">
        <f>('Emissions Assumptions'!Y21/907185)*AA37</f>
        <v>-104.30523801773802</v>
      </c>
      <c r="AB231" s="71">
        <f>('Emissions Assumptions'!Z21/907185)*AB37</f>
        <v>-105.00536604971978</v>
      </c>
      <c r="AC231" s="412">
        <f>('Emissions Assumptions'!AA21/907185)*AC37</f>
        <v>-105.71224159800374</v>
      </c>
      <c r="AD231" s="380">
        <f t="shared" si="65"/>
        <v>-2136.2344299711694</v>
      </c>
    </row>
    <row r="232" spans="1:30" s="53" customFormat="1" ht="12">
      <c r="A232" s="45"/>
      <c r="B232" s="45"/>
      <c r="C232" s="70" t="s">
        <v>115</v>
      </c>
      <c r="D232" s="228"/>
      <c r="E232" s="236"/>
      <c r="F232" s="45"/>
      <c r="G232" s="45"/>
      <c r="H232" s="45"/>
      <c r="I232" s="45"/>
      <c r="J232" s="45"/>
      <c r="K232" s="45"/>
      <c r="L232" s="45"/>
      <c r="M232" s="45"/>
      <c r="N232" s="45"/>
      <c r="O232" s="45"/>
      <c r="P232" s="45"/>
      <c r="Q232" s="45"/>
      <c r="R232" s="45"/>
      <c r="S232" s="45"/>
      <c r="T232" s="45"/>
      <c r="U232" s="45"/>
      <c r="V232" s="45"/>
      <c r="W232" s="45"/>
      <c r="X232" s="45"/>
      <c r="Y232" s="45"/>
      <c r="Z232" s="45"/>
      <c r="AA232" s="45"/>
      <c r="AB232" s="45"/>
      <c r="AC232" s="283"/>
      <c r="AD232" s="361">
        <f t="shared" si="65"/>
        <v>0</v>
      </c>
    </row>
    <row r="233" spans="1:30" s="53" customFormat="1" ht="12">
      <c r="A233" s="45"/>
      <c r="B233" s="45"/>
      <c r="C233" s="48" t="s">
        <v>43</v>
      </c>
      <c r="D233" s="228"/>
      <c r="E233" s="239"/>
      <c r="F233" s="56">
        <f>-(F228*'Emissions Assumptions'!D12)</f>
        <v>0</v>
      </c>
      <c r="G233" s="56">
        <f>-(G228*'Emissions Assumptions'!E12)</f>
        <v>0</v>
      </c>
      <c r="H233" s="56">
        <f>-(H228*'Emissions Assumptions'!F12)</f>
        <v>0</v>
      </c>
      <c r="I233" s="56">
        <f>-(I228*'Emissions Assumptions'!G12)</f>
        <v>0</v>
      </c>
      <c r="J233" s="56">
        <f>-(J228*'Emissions Assumptions'!H12)</f>
        <v>120.63636447772932</v>
      </c>
      <c r="K233" s="56">
        <f>-(K228*'Emissions Assumptions'!I12)</f>
        <v>155.8161799163606</v>
      </c>
      <c r="L233" s="56">
        <f>-(L228*'Emissions Assumptions'!J12)</f>
        <v>149.00602028072669</v>
      </c>
      <c r="M233" s="56">
        <f>-(M228*'Emissions Assumptions'!K12)</f>
        <v>141.90386795539379</v>
      </c>
      <c r="N233" s="56">
        <f>-(N228*'Emissions Assumptions'!L12)</f>
        <v>134.49691503135719</v>
      </c>
      <c r="O233" s="56">
        <f>-(O228*'Emissions Assumptions'!M12)</f>
        <v>125.1783020621687</v>
      </c>
      <c r="P233" s="56">
        <f>-(P228*'Emissions Assumptions'!N12)</f>
        <v>124.51558928351501</v>
      </c>
      <c r="Q233" s="56">
        <f>-(Q228*'Emissions Assumptions'!O12)</f>
        <v>123.84028473251816</v>
      </c>
      <c r="R233" s="56">
        <f>-(R228*'Emissions Assumptions'!P12)</f>
        <v>123.15216892791274</v>
      </c>
      <c r="S233" s="56">
        <f>-(S228*'Emissions Assumptions'!Q12)</f>
        <v>122.45101920057063</v>
      </c>
      <c r="T233" s="56">
        <f>-(T228*'Emissions Assumptions'!R12)</f>
        <v>121.73660965162512</v>
      </c>
      <c r="U233" s="56">
        <f>-(U228*'Emissions Assumptions'!S12)</f>
        <v>121.00871111007675</v>
      </c>
      <c r="V233" s="56">
        <f>-(V228*'Emissions Assumptions'!T12)</f>
        <v>120.26709108987404</v>
      </c>
      <c r="W233" s="56">
        <f>-(W228*'Emissions Assumptions'!U12)</f>
        <v>119.51151374646275</v>
      </c>
      <c r="X233" s="56">
        <f>-(X228*'Emissions Assumptions'!V12)</f>
        <v>118.74173983279815</v>
      </c>
      <c r="Y233" s="56">
        <f>-(Y228*'Emissions Assumptions'!W12)</f>
        <v>117.95752665481243</v>
      </c>
      <c r="Z233" s="56">
        <f>-(Z228*'Emissions Assumptions'!X12)</f>
        <v>118.7767951166025</v>
      </c>
      <c r="AA233" s="56">
        <f>-(AA228*'Emissions Assumptions'!Y12)</f>
        <v>119.60398963597494</v>
      </c>
      <c r="AB233" s="56">
        <f>-(AB228*'Emissions Assumptions'!Z12)</f>
        <v>120.4391892762016</v>
      </c>
      <c r="AC233" s="413">
        <f>-(AC228*'Emissions Assumptions'!AA12)</f>
        <v>121.28247389104096</v>
      </c>
      <c r="AD233" s="381">
        <f t="shared" si="65"/>
        <v>2520.3223518737213</v>
      </c>
    </row>
    <row r="234" spans="1:30" ht="13.5">
      <c r="A234" s="45"/>
      <c r="B234" s="45"/>
      <c r="C234" s="48" t="s">
        <v>119</v>
      </c>
      <c r="D234" s="228"/>
      <c r="E234" s="239"/>
      <c r="F234" s="56">
        <f>-(F229*'Emissions Assumptions'!D6)</f>
        <v>0</v>
      </c>
      <c r="G234" s="56">
        <f>-(G229*'Emissions Assumptions'!E6)</f>
        <v>0</v>
      </c>
      <c r="H234" s="56">
        <f>-(H229*'Emissions Assumptions'!F6)</f>
        <v>0</v>
      </c>
      <c r="I234" s="56">
        <f>-(I229*'Emissions Assumptions'!G6)</f>
        <v>0</v>
      </c>
      <c r="J234" s="56">
        <f>-(J229*'Emissions Assumptions'!H6)</f>
        <v>289.27830944537823</v>
      </c>
      <c r="K234" s="56">
        <f>-(K229*'Emissions Assumptions'!I6)</f>
        <v>364.1764946813941</v>
      </c>
      <c r="L234" s="56">
        <f>-(L229*'Emissions Assumptions'!J6)</f>
        <v>338.10268443174073</v>
      </c>
      <c r="M234" s="56">
        <f>-(M229*'Emissions Assumptions'!K6)</f>
        <v>310.91690214173161</v>
      </c>
      <c r="N234" s="56">
        <f>-(N229*'Emissions Assumptions'!L6)</f>
        <v>282.57005501750029</v>
      </c>
      <c r="O234" s="56">
        <f>-(O229*'Emissions Assumptions'!M6)</f>
        <v>249.64785896239317</v>
      </c>
      <c r="P234" s="56">
        <f>-(P229*'Emissions Assumptions'!N6)</f>
        <v>246.62537619805926</v>
      </c>
      <c r="Q234" s="56">
        <f>-(Q229*'Emissions Assumptions'!O6)</f>
        <v>243.55662298733668</v>
      </c>
      <c r="R234" s="56">
        <f>-(R229*'Emissions Assumptions'!P6)</f>
        <v>240.44086052486324</v>
      </c>
      <c r="S234" s="56">
        <f>-(S229*'Emissions Assumptions'!Q6)</f>
        <v>237.27733966362538</v>
      </c>
      <c r="T234" s="56">
        <f>-(T229*'Emissions Assumptions'!R6)</f>
        <v>234.06530078178278</v>
      </c>
      <c r="U234" s="56">
        <f>-(U229*'Emissions Assumptions'!S6)</f>
        <v>230.8039736478654</v>
      </c>
      <c r="V234" s="56">
        <f>-(V229*'Emissions Assumptions'!T6)</f>
        <v>227.49257728432056</v>
      </c>
      <c r="W234" s="56">
        <f>-(W229*'Emissions Assumptions'!U6)</f>
        <v>224.13031982939214</v>
      </c>
      <c r="X234" s="56">
        <f>-(X229*'Emissions Assumptions'!V6)</f>
        <v>220.71639839731182</v>
      </c>
      <c r="Y234" s="56">
        <f>-(Y229*'Emissions Assumptions'!W6)</f>
        <v>217.24999893678176</v>
      </c>
      <c r="Z234" s="56">
        <f>-(Z229*'Emissions Assumptions'!X6)</f>
        <v>218.71910580986039</v>
      </c>
      <c r="AA234" s="56">
        <f>-(AA229*'Emissions Assumptions'!Y6)</f>
        <v>220.20238324076374</v>
      </c>
      <c r="AB234" s="56">
        <f>-(AB229*'Emissions Assumptions'!Z6)</f>
        <v>221.69997254989198</v>
      </c>
      <c r="AC234" s="413">
        <f>-(AC229*'Emissions Assumptions'!AA6)</f>
        <v>223.21201647056432</v>
      </c>
      <c r="AD234" s="381">
        <f t="shared" si="65"/>
        <v>5040.8845510025585</v>
      </c>
    </row>
    <row r="235" spans="1:30" ht="13.5">
      <c r="A235" s="45"/>
      <c r="B235" s="45"/>
      <c r="C235" s="48" t="s">
        <v>117</v>
      </c>
      <c r="D235" s="228"/>
      <c r="E235" s="239"/>
      <c r="F235" s="56">
        <f>-(F230*'Emissions Assumptions'!D15)</f>
        <v>0</v>
      </c>
      <c r="G235" s="56">
        <f>-(G230*'Emissions Assumptions'!E15)</f>
        <v>0</v>
      </c>
      <c r="H235" s="56">
        <f>-(H230*'Emissions Assumptions'!F15)</f>
        <v>0</v>
      </c>
      <c r="I235" s="56">
        <f>-(I230*'Emissions Assumptions'!G15)</f>
        <v>0</v>
      </c>
      <c r="J235" s="56">
        <f>-(J230*'Emissions Assumptions'!H15)</f>
        <v>17025.140835470833</v>
      </c>
      <c r="K235" s="56">
        <f>-(K230*'Emissions Assumptions'!I15)</f>
        <v>21398.265002656528</v>
      </c>
      <c r="L235" s="56">
        <f>-(L230*'Emissions Assumptions'!J15)</f>
        <v>19828.674901113318</v>
      </c>
      <c r="M235" s="56">
        <f>-(M230*'Emissions Assumptions'!K15)</f>
        <v>18191.632312621179</v>
      </c>
      <c r="N235" s="56">
        <f>-(N230*'Emissions Assumptions'!L15)</f>
        <v>16484.143523587289</v>
      </c>
      <c r="O235" s="56">
        <f>-(O230*'Emissions Assumptions'!M15)</f>
        <v>14504.745295919376</v>
      </c>
      <c r="P235" s="56">
        <f>-(P230*'Emissions Assumptions'!N15)</f>
        <v>14210.725413621352</v>
      </c>
      <c r="Q235" s="56">
        <f>-(Q230*'Emissions Assumptions'!O15)</f>
        <v>13912.543156055719</v>
      </c>
      <c r="R235" s="56">
        <f>-(R230*'Emissions Assumptions'!P15)</f>
        <v>13610.134512264633</v>
      </c>
      <c r="S235" s="56">
        <f>-(S230*'Emissions Assumptions'!Q15)</f>
        <v>13303.434590528728</v>
      </c>
      <c r="T235" s="56">
        <f>-(T230*'Emissions Assumptions'!R15)</f>
        <v>12992.377607133652</v>
      </c>
      <c r="U235" s="56">
        <f>-(U230*'Emissions Assumptions'!S15)</f>
        <v>12676.8968750001</v>
      </c>
      <c r="V235" s="56">
        <f>-(V230*'Emissions Assumptions'!T15)</f>
        <v>12356.924792175569</v>
      </c>
      <c r="W235" s="56">
        <f>-(W230*'Emissions Assumptions'!U15)</f>
        <v>12032.392830186256</v>
      </c>
      <c r="X235" s="56">
        <f>-(X230*'Emissions Assumptions'!V15)</f>
        <v>11703.231522247523</v>
      </c>
      <c r="Y235" s="56">
        <f>-(Y230*'Emissions Assumptions'!W15)</f>
        <v>11369.370451331108</v>
      </c>
      <c r="Z235" s="56">
        <f>-(Z230*'Emissions Assumptions'!X15)</f>
        <v>11445.909490258558</v>
      </c>
      <c r="AA235" s="56">
        <f>-(AA230*'Emissions Assumptions'!Y15)</f>
        <v>11523.186425122749</v>
      </c>
      <c r="AB235" s="56">
        <f>-(AB230*'Emissions Assumptions'!Z15)</f>
        <v>11601.208614537152</v>
      </c>
      <c r="AC235" s="413">
        <f>-(AC230*'Emissions Assumptions'!AA15)</f>
        <v>11679.983490686325</v>
      </c>
      <c r="AD235" s="381">
        <f t="shared" si="65"/>
        <v>281850.92164251796</v>
      </c>
    </row>
    <row r="236" spans="1:30" s="53" customFormat="1" ht="13.5">
      <c r="A236" s="45"/>
      <c r="B236" s="45"/>
      <c r="C236" s="48" t="s">
        <v>118</v>
      </c>
      <c r="D236" s="228"/>
      <c r="E236" s="239"/>
      <c r="F236" s="56">
        <f>-(F231*'Emissions Assumptions'!D22)</f>
        <v>0</v>
      </c>
      <c r="G236" s="56">
        <f>-(G231*'Emissions Assumptions'!E22)</f>
        <v>0</v>
      </c>
      <c r="H236" s="56">
        <f>-(H231*'Emissions Assumptions'!F22)</f>
        <v>0</v>
      </c>
      <c r="I236" s="56">
        <f>-(I231*'Emissions Assumptions'!G22)</f>
        <v>0</v>
      </c>
      <c r="J236" s="56">
        <f>-(J231*'Emissions Assumptions'!H22)</f>
        <v>1844.9639711302573</v>
      </c>
      <c r="K236" s="56">
        <f>-(K231*'Emissions Assumptions'!I22)</f>
        <v>2467.2929872874979</v>
      </c>
      <c r="L236" s="56">
        <f>-(L231*'Emissions Assumptions'!J22)</f>
        <v>2451.6734118914433</v>
      </c>
      <c r="M236" s="56">
        <f>-(M231*'Emissions Assumptions'!K22)</f>
        <v>2434.8547396667814</v>
      </c>
      <c r="N236" s="56">
        <f>-(N231*'Emissions Assumptions'!L22)</f>
        <v>2416.7729581425879</v>
      </c>
      <c r="O236" s="56">
        <f>-(O231*'Emissions Assumptions'!M22)</f>
        <v>2364.5430608551223</v>
      </c>
      <c r="P236" s="56">
        <f>-(P231*'Emissions Assumptions'!N22)</f>
        <v>2349.5122096447162</v>
      </c>
      <c r="Q236" s="56">
        <f>-(Q231*'Emissions Assumptions'!O22)</f>
        <v>2334.2341982258058</v>
      </c>
      <c r="R236" s="56">
        <f>-(R231*'Emissions Assumptions'!P22)</f>
        <v>2318.7048161431649</v>
      </c>
      <c r="S236" s="56">
        <f>-(S231*'Emissions Assumptions'!Q22)</f>
        <v>2302.9197921496384</v>
      </c>
      <c r="T236" s="56">
        <f>-(T231*'Emissions Assumptions'!R22)</f>
        <v>2286.8747934098337</v>
      </c>
      <c r="U236" s="56">
        <f>-(U231*'Emissions Assumptions'!S22)</f>
        <v>2270.5654246939907</v>
      </c>
      <c r="V236" s="56">
        <f>-(V231*'Emissions Assumptions'!T22)</f>
        <v>2253.9872275618695</v>
      </c>
      <c r="W236" s="56">
        <f>-(W231*'Emissions Assumptions'!U22)</f>
        <v>2237.1356795365559</v>
      </c>
      <c r="X236" s="56">
        <f>-(X231*'Emissions Assumptions'!V22)</f>
        <v>2220.0061932680737</v>
      </c>
      <c r="Y236" s="56">
        <f>-(Y231*'Emissions Assumptions'!W22)</f>
        <v>2202.5941156866547</v>
      </c>
      <c r="Z236" s="56">
        <f>-(Z231*'Emissions Assumptions'!X22)</f>
        <v>2217.2923248481547</v>
      </c>
      <c r="AA236" s="56">
        <f>-(AA231*'Emissions Assumptions'!Y22)</f>
        <v>2232.1320935795934</v>
      </c>
      <c r="AB236" s="56">
        <f>-(AB231*'Emissions Assumptions'!Z22)</f>
        <v>2247.1148334640034</v>
      </c>
      <c r="AC236" s="413">
        <f>-(AC231*'Emissions Assumptions'!AA22)</f>
        <v>2262.2419701972799</v>
      </c>
      <c r="AD236" s="381">
        <f t="shared" si="65"/>
        <v>45715.416801383035</v>
      </c>
    </row>
    <row r="237" spans="1:30" s="5" customFormat="1" ht="12">
      <c r="A237" s="58"/>
      <c r="B237" s="58"/>
      <c r="C237" s="62" t="s">
        <v>613</v>
      </c>
      <c r="D237" s="231"/>
      <c r="E237" s="239"/>
      <c r="F237" s="83">
        <f>SUM(F233:F236)</f>
        <v>0</v>
      </c>
      <c r="G237" s="83">
        <f t="shared" ref="G237:AC237" si="77">SUM(G233:G236)</f>
        <v>0</v>
      </c>
      <c r="H237" s="83">
        <f t="shared" si="77"/>
        <v>0</v>
      </c>
      <c r="I237" s="83">
        <f t="shared" si="77"/>
        <v>0</v>
      </c>
      <c r="J237" s="83">
        <f t="shared" si="77"/>
        <v>19280.019480524199</v>
      </c>
      <c r="K237" s="83">
        <f t="shared" si="77"/>
        <v>24385.550664541781</v>
      </c>
      <c r="L237" s="83">
        <f t="shared" si="77"/>
        <v>22767.457017717228</v>
      </c>
      <c r="M237" s="83">
        <f t="shared" si="77"/>
        <v>21079.307822385086</v>
      </c>
      <c r="N237" s="83">
        <f t="shared" si="77"/>
        <v>19317.983451778735</v>
      </c>
      <c r="O237" s="83">
        <f t="shared" si="77"/>
        <v>17244.114517799062</v>
      </c>
      <c r="P237" s="83">
        <f t="shared" si="77"/>
        <v>16931.378588747644</v>
      </c>
      <c r="Q237" s="83">
        <f t="shared" si="77"/>
        <v>16614.174262001379</v>
      </c>
      <c r="R237" s="83">
        <f t="shared" si="77"/>
        <v>16292.432357860573</v>
      </c>
      <c r="S237" s="83">
        <f t="shared" si="77"/>
        <v>15966.082741542563</v>
      </c>
      <c r="T237" s="83">
        <f t="shared" si="77"/>
        <v>15635.054310976893</v>
      </c>
      <c r="U237" s="83">
        <f t="shared" si="77"/>
        <v>15299.274984452033</v>
      </c>
      <c r="V237" s="83">
        <f t="shared" si="77"/>
        <v>14958.671688111632</v>
      </c>
      <c r="W237" s="83">
        <f t="shared" si="77"/>
        <v>14613.170343298667</v>
      </c>
      <c r="X237" s="83">
        <f t="shared" si="77"/>
        <v>14262.695853745707</v>
      </c>
      <c r="Y237" s="83">
        <f t="shared" si="77"/>
        <v>13907.172092609355</v>
      </c>
      <c r="Z237" s="83">
        <f t="shared" si="77"/>
        <v>14000.697716033175</v>
      </c>
      <c r="AA237" s="83">
        <f t="shared" si="77"/>
        <v>14095.124891579082</v>
      </c>
      <c r="AB237" s="83">
        <f t="shared" si="77"/>
        <v>14190.462609827249</v>
      </c>
      <c r="AC237" s="292">
        <f t="shared" si="77"/>
        <v>14286.71995124521</v>
      </c>
      <c r="AD237" s="378">
        <f t="shared" si="65"/>
        <v>335127.5453467773</v>
      </c>
    </row>
    <row r="238" spans="1:30" s="53" customFormat="1" ht="12">
      <c r="A238" s="45"/>
      <c r="B238" s="45"/>
      <c r="D238" s="228"/>
      <c r="E238" s="236"/>
      <c r="F238" s="45"/>
      <c r="G238" s="57"/>
      <c r="AC238" s="283"/>
      <c r="AD238" s="361">
        <f t="shared" si="65"/>
        <v>0</v>
      </c>
    </row>
    <row r="239" spans="1:30" s="53" customFormat="1" ht="12">
      <c r="A239" s="45"/>
      <c r="B239" s="45"/>
      <c r="C239" s="64" t="s">
        <v>91</v>
      </c>
      <c r="D239" s="228"/>
      <c r="E239" s="236"/>
      <c r="F239" s="45"/>
      <c r="G239" s="57"/>
      <c r="AC239" s="283"/>
      <c r="AD239" s="361">
        <f t="shared" si="65"/>
        <v>0</v>
      </c>
    </row>
    <row r="240" spans="1:30" s="53" customFormat="1" ht="24">
      <c r="A240" s="45"/>
      <c r="B240" s="45"/>
      <c r="C240" s="222" t="s">
        <v>132</v>
      </c>
      <c r="D240" s="279">
        <f>'Price Assumptions'!$B$22</f>
        <v>0.2</v>
      </c>
      <c r="E240" s="236"/>
      <c r="G240" s="97"/>
      <c r="H240" s="97"/>
      <c r="I240" s="97"/>
      <c r="J240" s="97"/>
      <c r="K240" s="97"/>
      <c r="L240" s="97"/>
      <c r="M240" s="97"/>
      <c r="N240" s="97"/>
      <c r="O240" s="97"/>
      <c r="P240" s="97"/>
      <c r="Q240" s="97"/>
      <c r="R240" s="97"/>
      <c r="S240" s="97"/>
      <c r="T240" s="97"/>
      <c r="U240" s="97"/>
      <c r="V240" s="97"/>
      <c r="W240" s="97"/>
      <c r="X240" s="97"/>
      <c r="Y240" s="97"/>
      <c r="AC240" s="283"/>
      <c r="AD240" s="361">
        <f t="shared" si="65"/>
        <v>0</v>
      </c>
    </row>
    <row r="241" spans="1:30" s="53" customFormat="1" ht="24">
      <c r="A241" s="45"/>
      <c r="B241" s="45"/>
      <c r="C241" s="303" t="s">
        <v>520</v>
      </c>
      <c r="D241" s="304">
        <f>'Price Assumptions'!$B$21</f>
        <v>5.4413625171743009E-2</v>
      </c>
      <c r="E241" s="236"/>
      <c r="G241" s="96"/>
      <c r="H241" s="96"/>
      <c r="I241" s="96"/>
      <c r="J241" s="96"/>
      <c r="K241" s="96"/>
      <c r="L241" s="96"/>
      <c r="M241" s="96"/>
      <c r="N241" s="96"/>
      <c r="O241" s="96"/>
      <c r="P241" s="96"/>
      <c r="Q241" s="96"/>
      <c r="R241" s="96"/>
      <c r="S241" s="96"/>
      <c r="T241" s="96"/>
      <c r="U241" s="96"/>
      <c r="V241" s="96"/>
      <c r="W241" s="96"/>
      <c r="X241" s="96"/>
      <c r="Y241" s="96"/>
      <c r="AC241" s="283"/>
      <c r="AD241" s="361">
        <f t="shared" si="65"/>
        <v>0</v>
      </c>
    </row>
    <row r="242" spans="1:30" s="5" customFormat="1" ht="24.75" customHeight="1">
      <c r="A242" s="58"/>
      <c r="B242" s="58"/>
      <c r="C242" s="87" t="s">
        <v>521</v>
      </c>
      <c r="D242" s="231"/>
      <c r="E242" s="239"/>
      <c r="F242" s="83">
        <f>$D$241*$D$240*(F16+F17+F20+F21+F24+F25+F26)</f>
        <v>0</v>
      </c>
      <c r="G242" s="83">
        <f t="shared" ref="G242:AC242" si="78">$D$241*$D$240*(G16+G17+G20+G21+G24+G25+G26)</f>
        <v>0</v>
      </c>
      <c r="H242" s="83">
        <f t="shared" si="78"/>
        <v>0</v>
      </c>
      <c r="I242" s="83">
        <f t="shared" si="78"/>
        <v>0</v>
      </c>
      <c r="J242" s="83">
        <f t="shared" si="78"/>
        <v>591.87990868925692</v>
      </c>
      <c r="K242" s="83">
        <f t="shared" si="78"/>
        <v>808.2093909742689</v>
      </c>
      <c r="L242" s="83">
        <f t="shared" si="78"/>
        <v>816.45007062351101</v>
      </c>
      <c r="M242" s="83">
        <f t="shared" si="78"/>
        <v>824.77905963046965</v>
      </c>
      <c r="N242" s="83">
        <f t="shared" si="78"/>
        <v>833.19746078205083</v>
      </c>
      <c r="O242" s="83">
        <f t="shared" si="78"/>
        <v>841.46923495276133</v>
      </c>
      <c r="P242" s="83">
        <f t="shared" si="78"/>
        <v>849.82368231685564</v>
      </c>
      <c r="Q242" s="83">
        <f t="shared" si="78"/>
        <v>858.26162957330178</v>
      </c>
      <c r="R242" s="83">
        <f t="shared" si="78"/>
        <v>866.78391168803273</v>
      </c>
      <c r="S242" s="83">
        <f t="shared" si="78"/>
        <v>875.39137197661717</v>
      </c>
      <c r="T242" s="83">
        <f t="shared" si="78"/>
        <v>884.08486218775442</v>
      </c>
      <c r="U242" s="83">
        <f t="shared" si="78"/>
        <v>892.86524258760664</v>
      </c>
      <c r="V242" s="83">
        <f t="shared" si="78"/>
        <v>901.73338204497338</v>
      </c>
      <c r="W242" s="83">
        <f t="shared" si="78"/>
        <v>910.69015811731663</v>
      </c>
      <c r="X242" s="83">
        <f t="shared" si="78"/>
        <v>919.73645713765018</v>
      </c>
      <c r="Y242" s="83">
        <f t="shared" si="78"/>
        <v>928.87317430229189</v>
      </c>
      <c r="Z242" s="83">
        <f t="shared" si="78"/>
        <v>938.10121375949882</v>
      </c>
      <c r="AA242" s="83">
        <f t="shared" si="78"/>
        <v>947.42148869898665</v>
      </c>
      <c r="AB242" s="83">
        <f t="shared" si="78"/>
        <v>956.83492144234242</v>
      </c>
      <c r="AC242" s="292">
        <f t="shared" si="78"/>
        <v>966.34244353434565</v>
      </c>
      <c r="AD242" s="378">
        <f t="shared" si="65"/>
        <v>17412.929065019889</v>
      </c>
    </row>
    <row r="243" spans="1:30" s="112" customFormat="1" ht="12">
      <c r="A243" s="109"/>
      <c r="B243" s="109"/>
      <c r="C243" s="110"/>
      <c r="D243" s="227"/>
      <c r="E243" s="235"/>
      <c r="F243" s="111"/>
      <c r="G243" s="111"/>
      <c r="H243" s="111"/>
      <c r="I243" s="111"/>
      <c r="J243" s="111"/>
      <c r="K243" s="111"/>
      <c r="L243" s="111"/>
      <c r="M243" s="111"/>
      <c r="N243" s="111"/>
      <c r="O243" s="111"/>
      <c r="P243" s="111"/>
      <c r="Q243" s="111"/>
      <c r="R243" s="111"/>
      <c r="S243" s="111"/>
      <c r="T243" s="111"/>
      <c r="U243" s="111"/>
      <c r="V243" s="111"/>
      <c r="W243" s="111"/>
      <c r="X243" s="111"/>
      <c r="Y243" s="111"/>
      <c r="Z243" s="111"/>
      <c r="AC243" s="282"/>
      <c r="AD243" s="360">
        <f t="shared" si="65"/>
        <v>0</v>
      </c>
    </row>
    <row r="244" spans="1:30" s="112" customFormat="1" ht="12">
      <c r="A244" s="58" t="s">
        <v>361</v>
      </c>
      <c r="B244" s="58"/>
      <c r="C244" s="110"/>
      <c r="D244" s="227"/>
      <c r="E244" s="235"/>
      <c r="F244" s="111"/>
      <c r="G244" s="111"/>
      <c r="H244" s="111"/>
      <c r="I244" s="111"/>
      <c r="J244" s="111"/>
      <c r="K244" s="111"/>
      <c r="L244" s="111"/>
      <c r="M244" s="111"/>
      <c r="N244" s="111"/>
      <c r="O244" s="111"/>
      <c r="P244" s="111"/>
      <c r="Q244" s="111"/>
      <c r="R244" s="111"/>
      <c r="S244" s="111"/>
      <c r="T244" s="111"/>
      <c r="U244" s="111"/>
      <c r="V244" s="111"/>
      <c r="W244" s="111"/>
      <c r="X244" s="111"/>
      <c r="Y244" s="111"/>
      <c r="Z244" s="111"/>
      <c r="AC244" s="282"/>
      <c r="AD244" s="360">
        <f t="shared" si="65"/>
        <v>0</v>
      </c>
    </row>
    <row r="245" spans="1:30" s="112" customFormat="1" ht="12">
      <c r="A245" s="58"/>
      <c r="B245" s="58"/>
      <c r="C245" s="46" t="s">
        <v>39</v>
      </c>
      <c r="D245" s="229"/>
      <c r="E245" s="236"/>
      <c r="F245" s="45"/>
      <c r="G245" s="111"/>
      <c r="H245" s="111"/>
      <c r="I245" s="111"/>
      <c r="J245" s="111"/>
      <c r="K245" s="111"/>
      <c r="L245" s="111"/>
      <c r="M245" s="111"/>
      <c r="N245" s="111"/>
      <c r="O245" s="111"/>
      <c r="P245" s="111"/>
      <c r="Q245" s="111"/>
      <c r="R245" s="111"/>
      <c r="S245" s="111"/>
      <c r="T245" s="111"/>
      <c r="U245" s="111"/>
      <c r="V245" s="111"/>
      <c r="W245" s="111"/>
      <c r="X245" s="111"/>
      <c r="Y245" s="111"/>
      <c r="Z245" s="111"/>
      <c r="AC245" s="282"/>
      <c r="AD245" s="360">
        <f t="shared" si="65"/>
        <v>0</v>
      </c>
    </row>
    <row r="246" spans="1:30" s="112" customFormat="1" ht="12">
      <c r="A246" s="58"/>
      <c r="B246" s="58" t="s">
        <v>228</v>
      </c>
      <c r="D246" s="229"/>
      <c r="E246" s="236"/>
      <c r="F246" s="45"/>
      <c r="G246" s="111"/>
      <c r="H246" s="111"/>
      <c r="I246" s="111"/>
      <c r="J246" s="111"/>
      <c r="K246" s="111"/>
      <c r="L246" s="111"/>
      <c r="M246" s="111"/>
      <c r="N246" s="111"/>
      <c r="O246" s="111"/>
      <c r="P246" s="111"/>
      <c r="Q246" s="111"/>
      <c r="R246" s="111"/>
      <c r="S246" s="111"/>
      <c r="T246" s="111"/>
      <c r="U246" s="111"/>
      <c r="V246" s="111"/>
      <c r="W246" s="111"/>
      <c r="X246" s="111"/>
      <c r="Y246" s="111"/>
      <c r="Z246" s="111"/>
      <c r="AC246" s="282"/>
      <c r="AD246" s="360">
        <f t="shared" si="65"/>
        <v>0</v>
      </c>
    </row>
    <row r="247" spans="1:30" s="112" customFormat="1" ht="12">
      <c r="A247" s="58"/>
      <c r="B247" s="78" t="s">
        <v>504</v>
      </c>
      <c r="C247" s="78" t="s">
        <v>579</v>
      </c>
      <c r="D247" s="229"/>
      <c r="E247" s="236"/>
      <c r="F247" s="45"/>
      <c r="G247" s="111"/>
      <c r="H247" s="111"/>
      <c r="I247" s="111"/>
      <c r="J247" s="111"/>
      <c r="K247" s="111"/>
      <c r="L247" s="111"/>
      <c r="M247" s="111"/>
      <c r="N247" s="111"/>
      <c r="O247" s="111"/>
      <c r="P247" s="111"/>
      <c r="Q247" s="111"/>
      <c r="R247" s="111"/>
      <c r="S247" s="111"/>
      <c r="T247" s="111"/>
      <c r="U247" s="111"/>
      <c r="V247" s="111"/>
      <c r="W247" s="111"/>
      <c r="X247" s="111"/>
      <c r="Y247" s="111"/>
      <c r="Z247" s="111"/>
      <c r="AC247" s="282"/>
      <c r="AD247" s="360">
        <f t="shared" si="65"/>
        <v>0</v>
      </c>
    </row>
    <row r="248" spans="1:30" s="112" customFormat="1" ht="12">
      <c r="A248" s="58"/>
      <c r="B248" s="58"/>
      <c r="C248" s="78" t="s">
        <v>559</v>
      </c>
      <c r="D248" s="229">
        <f>-0.75/'FG Users'!C93*0.05</f>
        <v>-1.636554071746531E-7</v>
      </c>
      <c r="E248" s="236"/>
      <c r="F248" s="45">
        <v>0</v>
      </c>
      <c r="G248" s="45">
        <v>0</v>
      </c>
      <c r="H248" s="45">
        <v>0</v>
      </c>
      <c r="I248" s="45">
        <f t="shared" ref="I248:AC248" si="79">$D$248*I10</f>
        <v>0</v>
      </c>
      <c r="J248" s="45">
        <f t="shared" si="79"/>
        <v>-3.2551878859508478E-2</v>
      </c>
      <c r="K248" s="45">
        <f t="shared" si="79"/>
        <v>-4.5017946387545839E-2</v>
      </c>
      <c r="L248" s="45">
        <f t="shared" si="79"/>
        <v>-4.66935143520903E-2</v>
      </c>
      <c r="M248" s="45">
        <f t="shared" si="79"/>
        <v>-4.8431446956275104E-2</v>
      </c>
      <c r="N248" s="45">
        <f t="shared" si="79"/>
        <v>-5.0234065411987668E-2</v>
      </c>
      <c r="O248" s="45">
        <f t="shared" si="79"/>
        <v>-5.0271238620392532E-2</v>
      </c>
      <c r="P248" s="45">
        <f t="shared" si="79"/>
        <v>-5.0308439336971628E-2</v>
      </c>
      <c r="Q248" s="45">
        <f t="shared" si="79"/>
        <v>-5.0345667582080977E-2</v>
      </c>
      <c r="R248" s="45">
        <f t="shared" si="79"/>
        <v>-5.0382923376091723E-2</v>
      </c>
      <c r="S248" s="45">
        <f t="shared" si="79"/>
        <v>-5.0420206739390031E-2</v>
      </c>
      <c r="T248" s="45">
        <f t="shared" si="79"/>
        <v>-5.0457517692377163E-2</v>
      </c>
      <c r="U248" s="45">
        <f t="shared" si="79"/>
        <v>-5.0494856255469525E-2</v>
      </c>
      <c r="V248" s="45">
        <f t="shared" si="79"/>
        <v>-5.0532222449098572E-2</v>
      </c>
      <c r="W248" s="45">
        <f t="shared" si="79"/>
        <v>-5.0569616293710901E-2</v>
      </c>
      <c r="X248" s="45">
        <f t="shared" si="79"/>
        <v>-5.0607037809768246E-2</v>
      </c>
      <c r="Y248" s="45">
        <f t="shared" si="79"/>
        <v>-5.0644487017747465E-2</v>
      </c>
      <c r="Z248" s="45">
        <f t="shared" si="79"/>
        <v>-5.0681963938140617E-2</v>
      </c>
      <c r="AA248" s="45">
        <f t="shared" si="79"/>
        <v>-5.0719468591454819E-2</v>
      </c>
      <c r="AB248" s="45">
        <f t="shared" si="79"/>
        <v>-5.0757000998212509E-2</v>
      </c>
      <c r="AC248" s="283">
        <f t="shared" si="79"/>
        <v>-5.0794561178951175E-2</v>
      </c>
      <c r="AD248" s="361">
        <f t="shared" si="65"/>
        <v>-0.98091605984726538</v>
      </c>
    </row>
    <row r="249" spans="1:30" s="112" customFormat="1" ht="12">
      <c r="A249" s="58"/>
      <c r="B249" s="58"/>
      <c r="C249" s="49" t="s">
        <v>40</v>
      </c>
      <c r="D249" s="328">
        <f>-'Mode Operating Assumptions'!C181</f>
        <v>-6200000</v>
      </c>
      <c r="E249" s="236"/>
      <c r="F249" s="337">
        <f>F248*$D$249</f>
        <v>0</v>
      </c>
      <c r="G249" s="337">
        <f t="shared" ref="G249:AC249" si="80">G248*$D$249</f>
        <v>0</v>
      </c>
      <c r="H249" s="337">
        <f t="shared" si="80"/>
        <v>0</v>
      </c>
      <c r="I249" s="337">
        <f t="shared" si="80"/>
        <v>0</v>
      </c>
      <c r="J249" s="337">
        <f t="shared" si="80"/>
        <v>201821.64892895255</v>
      </c>
      <c r="K249" s="337">
        <f t="shared" si="80"/>
        <v>279111.26760278421</v>
      </c>
      <c r="L249" s="337">
        <f t="shared" si="80"/>
        <v>289499.78898295987</v>
      </c>
      <c r="M249" s="337">
        <f t="shared" si="80"/>
        <v>300274.97112890566</v>
      </c>
      <c r="N249" s="337">
        <f t="shared" si="80"/>
        <v>311451.20555432356</v>
      </c>
      <c r="O249" s="337">
        <f t="shared" si="80"/>
        <v>311681.67944643367</v>
      </c>
      <c r="P249" s="337">
        <f t="shared" si="80"/>
        <v>311912.32388922409</v>
      </c>
      <c r="Q249" s="337">
        <f t="shared" si="80"/>
        <v>312143.13900890207</v>
      </c>
      <c r="R249" s="337">
        <f t="shared" si="80"/>
        <v>312374.12493176869</v>
      </c>
      <c r="S249" s="337">
        <f t="shared" si="80"/>
        <v>312605.28178421821</v>
      </c>
      <c r="T249" s="337">
        <f t="shared" si="80"/>
        <v>312836.60969273839</v>
      </c>
      <c r="U249" s="337">
        <f t="shared" si="80"/>
        <v>313068.10878391104</v>
      </c>
      <c r="V249" s="337">
        <f t="shared" si="80"/>
        <v>313299.77918441116</v>
      </c>
      <c r="W249" s="337">
        <f t="shared" si="80"/>
        <v>313531.6210210076</v>
      </c>
      <c r="X249" s="337">
        <f t="shared" si="80"/>
        <v>313763.63442056312</v>
      </c>
      <c r="Y249" s="337">
        <f t="shared" si="80"/>
        <v>313995.81951003429</v>
      </c>
      <c r="Z249" s="337">
        <f t="shared" si="80"/>
        <v>314228.17641647183</v>
      </c>
      <c r="AA249" s="337">
        <f t="shared" si="80"/>
        <v>314460.70526701986</v>
      </c>
      <c r="AB249" s="337">
        <f t="shared" si="80"/>
        <v>314693.40618891758</v>
      </c>
      <c r="AC249" s="414">
        <f t="shared" si="80"/>
        <v>314926.27930949727</v>
      </c>
      <c r="AD249" s="382">
        <f t="shared" si="65"/>
        <v>6081679.5710530439</v>
      </c>
    </row>
    <row r="250" spans="1:30" s="112" customFormat="1" ht="12">
      <c r="A250" s="58"/>
      <c r="B250" s="58"/>
      <c r="C250" s="78" t="s">
        <v>560</v>
      </c>
      <c r="D250" s="229">
        <f>-0.75/'FG Users'!C93*0.95</f>
        <v>-3.1094527363184087E-6</v>
      </c>
      <c r="E250" s="236"/>
      <c r="F250" s="45">
        <v>0</v>
      </c>
      <c r="G250" s="45">
        <v>0</v>
      </c>
      <c r="H250" s="45">
        <v>0</v>
      </c>
      <c r="I250" s="45">
        <f t="shared" ref="I250:AC250" si="81">$D$250*I10</f>
        <v>0</v>
      </c>
      <c r="J250" s="45">
        <f t="shared" si="81"/>
        <v>-0.61848569833066103</v>
      </c>
      <c r="K250" s="45">
        <f t="shared" si="81"/>
        <v>-0.85534098136337089</v>
      </c>
      <c r="L250" s="45">
        <f t="shared" si="81"/>
        <v>-0.88717677268971562</v>
      </c>
      <c r="M250" s="45">
        <f t="shared" si="81"/>
        <v>-0.92019749216922697</v>
      </c>
      <c r="N250" s="45">
        <f t="shared" si="81"/>
        <v>-0.95444724282776561</v>
      </c>
      <c r="O250" s="45">
        <f t="shared" si="81"/>
        <v>-0.95515353378745804</v>
      </c>
      <c r="P250" s="45">
        <f t="shared" si="81"/>
        <v>-0.95586034740246084</v>
      </c>
      <c r="Q250" s="45">
        <f t="shared" si="81"/>
        <v>-0.95656768405953863</v>
      </c>
      <c r="R250" s="45">
        <f t="shared" si="81"/>
        <v>-0.95727554414574267</v>
      </c>
      <c r="S250" s="45">
        <f t="shared" si="81"/>
        <v>-0.95798392804841048</v>
      </c>
      <c r="T250" s="45">
        <f t="shared" si="81"/>
        <v>-0.95869283615516598</v>
      </c>
      <c r="U250" s="45">
        <f t="shared" si="81"/>
        <v>-0.95940226885392099</v>
      </c>
      <c r="V250" s="45">
        <f t="shared" si="81"/>
        <v>-0.96011222653287287</v>
      </c>
      <c r="W250" s="45">
        <f t="shared" si="81"/>
        <v>-0.96082270958050708</v>
      </c>
      <c r="X250" s="45">
        <f t="shared" si="81"/>
        <v>-0.96153371838559665</v>
      </c>
      <c r="Y250" s="45">
        <f t="shared" si="81"/>
        <v>-0.96224525333720179</v>
      </c>
      <c r="Z250" s="45">
        <f t="shared" si="81"/>
        <v>-0.96295731482467173</v>
      </c>
      <c r="AA250" s="45">
        <f t="shared" si="81"/>
        <v>-0.96366990323764157</v>
      </c>
      <c r="AB250" s="45">
        <f t="shared" si="81"/>
        <v>-0.96438301896603762</v>
      </c>
      <c r="AC250" s="283">
        <f t="shared" si="81"/>
        <v>-0.9650966624000723</v>
      </c>
      <c r="AD250" s="361">
        <f t="shared" si="65"/>
        <v>-18.637405137098039</v>
      </c>
    </row>
    <row r="251" spans="1:30" s="112" customFormat="1" ht="12">
      <c r="A251" s="58"/>
      <c r="B251" s="58"/>
      <c r="C251" s="49" t="s">
        <v>41</v>
      </c>
      <c r="D251" s="328">
        <f>-'Mode Operating Assumptions'!C177</f>
        <v>-291400</v>
      </c>
      <c r="E251" s="236"/>
      <c r="F251" s="337">
        <f>F250*$D$251</f>
        <v>0</v>
      </c>
      <c r="G251" s="337">
        <f t="shared" ref="G251:AC251" si="82">G250*$D$251</f>
        <v>0</v>
      </c>
      <c r="H251" s="337">
        <f t="shared" si="82"/>
        <v>0</v>
      </c>
      <c r="I251" s="337">
        <f t="shared" si="82"/>
        <v>0</v>
      </c>
      <c r="J251" s="337">
        <f t="shared" si="82"/>
        <v>180226.73249355462</v>
      </c>
      <c r="K251" s="337">
        <f t="shared" si="82"/>
        <v>249246.36196928628</v>
      </c>
      <c r="L251" s="337">
        <f t="shared" si="82"/>
        <v>258523.31156178314</v>
      </c>
      <c r="M251" s="337">
        <f t="shared" si="82"/>
        <v>268145.54921811272</v>
      </c>
      <c r="N251" s="337">
        <f t="shared" si="82"/>
        <v>278125.92656001088</v>
      </c>
      <c r="O251" s="337">
        <f t="shared" si="82"/>
        <v>278331.73974566528</v>
      </c>
      <c r="P251" s="337">
        <f t="shared" si="82"/>
        <v>278537.70523307711</v>
      </c>
      <c r="Q251" s="337">
        <f t="shared" si="82"/>
        <v>278743.82313494955</v>
      </c>
      <c r="R251" s="337">
        <f t="shared" si="82"/>
        <v>278950.09356406942</v>
      </c>
      <c r="S251" s="337">
        <f t="shared" si="82"/>
        <v>279156.5166333068</v>
      </c>
      <c r="T251" s="337">
        <f t="shared" si="82"/>
        <v>279363.09245561535</v>
      </c>
      <c r="U251" s="337">
        <f t="shared" si="82"/>
        <v>279569.82114403258</v>
      </c>
      <c r="V251" s="337">
        <f t="shared" si="82"/>
        <v>279776.70281167916</v>
      </c>
      <c r="W251" s="337">
        <f t="shared" si="82"/>
        <v>279983.73757175979</v>
      </c>
      <c r="X251" s="337">
        <f t="shared" si="82"/>
        <v>280190.92553756287</v>
      </c>
      <c r="Y251" s="337">
        <f t="shared" si="82"/>
        <v>280398.26682246057</v>
      </c>
      <c r="Z251" s="337">
        <f t="shared" si="82"/>
        <v>280605.76153990935</v>
      </c>
      <c r="AA251" s="337">
        <f t="shared" si="82"/>
        <v>280813.40980344877</v>
      </c>
      <c r="AB251" s="337">
        <f t="shared" si="82"/>
        <v>281021.21172670339</v>
      </c>
      <c r="AC251" s="414">
        <f t="shared" si="82"/>
        <v>281229.16742338106</v>
      </c>
      <c r="AD251" s="382">
        <f t="shared" si="65"/>
        <v>5430939.8569503697</v>
      </c>
    </row>
    <row r="252" spans="1:30" s="112" customFormat="1" ht="12">
      <c r="A252" s="58"/>
      <c r="B252" s="58"/>
      <c r="C252" s="78" t="s">
        <v>624</v>
      </c>
      <c r="D252" s="229"/>
      <c r="E252" s="236"/>
      <c r="F252" s="45"/>
      <c r="G252" s="111"/>
      <c r="H252" s="111"/>
      <c r="I252" s="55"/>
      <c r="J252" s="55"/>
      <c r="K252" s="55"/>
      <c r="L252" s="55"/>
      <c r="M252" s="55"/>
      <c r="N252" s="55"/>
      <c r="O252" s="55"/>
      <c r="P252" s="55"/>
      <c r="Q252" s="55"/>
      <c r="R252" s="55"/>
      <c r="S252" s="55"/>
      <c r="T252" s="55"/>
      <c r="U252" s="55"/>
      <c r="V252" s="55"/>
      <c r="W252" s="55"/>
      <c r="X252" s="55"/>
      <c r="Y252" s="55"/>
      <c r="Z252" s="55"/>
      <c r="AA252" s="55"/>
      <c r="AB252" s="55"/>
      <c r="AC252" s="290"/>
      <c r="AD252" s="376">
        <f t="shared" si="65"/>
        <v>0</v>
      </c>
    </row>
    <row r="253" spans="1:30" s="112" customFormat="1" ht="12">
      <c r="A253" s="58"/>
      <c r="C253" s="78" t="s">
        <v>559</v>
      </c>
      <c r="D253" s="229">
        <f>'Mode Operating Assumptions'!D191</f>
        <v>8.2555465307736857E-8</v>
      </c>
      <c r="E253" s="236"/>
      <c r="F253" s="55">
        <f>$D$253*(F$11+F$12-F$23+F$30+F$31)</f>
        <v>0</v>
      </c>
      <c r="G253" s="55">
        <f t="shared" ref="G253:AC253" si="83">$D$253*(G$11+G$12-G$23+G$30+G$31)</f>
        <v>0</v>
      </c>
      <c r="H253" s="55">
        <f t="shared" si="83"/>
        <v>0</v>
      </c>
      <c r="I253" s="55">
        <f t="shared" si="83"/>
        <v>0</v>
      </c>
      <c r="J253" s="55">
        <f t="shared" si="83"/>
        <v>8.6668086196748588E-4</v>
      </c>
      <c r="K253" s="55">
        <f t="shared" si="83"/>
        <v>1.2132876804605353E-3</v>
      </c>
      <c r="L253" s="55">
        <f t="shared" si="83"/>
        <v>1.2895118272129016E-3</v>
      </c>
      <c r="M253" s="55">
        <f t="shared" si="83"/>
        <v>1.3688836925002481E-3</v>
      </c>
      <c r="N253" s="55">
        <f t="shared" si="83"/>
        <v>1.4515235409643741E-3</v>
      </c>
      <c r="O253" s="55">
        <f t="shared" si="83"/>
        <v>1.4417092087977304E-3</v>
      </c>
      <c r="P253" s="55">
        <f t="shared" si="83"/>
        <v>1.4317787294294147E-3</v>
      </c>
      <c r="Q253" s="55">
        <f t="shared" si="83"/>
        <v>1.4217309280645377E-3</v>
      </c>
      <c r="R253" s="55">
        <f t="shared" si="83"/>
        <v>1.4115646181504047E-3</v>
      </c>
      <c r="S253" s="55">
        <f t="shared" si="83"/>
        <v>1.4012786012589261E-3</v>
      </c>
      <c r="T253" s="55">
        <f t="shared" si="83"/>
        <v>1.390871666967858E-3</v>
      </c>
      <c r="U253" s="55">
        <f t="shared" si="83"/>
        <v>1.3803425927408554E-3</v>
      </c>
      <c r="V253" s="55">
        <f t="shared" si="83"/>
        <v>1.3696901438063191E-3</v>
      </c>
      <c r="W253" s="55">
        <f t="shared" si="83"/>
        <v>1.358913073035039E-3</v>
      </c>
      <c r="X253" s="55">
        <f t="shared" si="83"/>
        <v>1.3480101208166119E-3</v>
      </c>
      <c r="Y253" s="55">
        <f t="shared" si="83"/>
        <v>1.3369800149346173E-3</v>
      </c>
      <c r="Z253" s="55">
        <f t="shared" si="83"/>
        <v>1.3258214704405581E-3</v>
      </c>
      <c r="AA253" s="55">
        <f t="shared" si="83"/>
        <v>1.31453318952652E-3</v>
      </c>
      <c r="AB253" s="55">
        <f t="shared" si="83"/>
        <v>1.3031138613965856E-3</v>
      </c>
      <c r="AC253" s="290">
        <f t="shared" si="83"/>
        <v>1.2915621621369319E-3</v>
      </c>
      <c r="AD253" s="376">
        <f t="shared" si="65"/>
        <v>2.6717787984608454E-2</v>
      </c>
    </row>
    <row r="254" spans="1:30" s="112" customFormat="1" ht="12">
      <c r="A254" s="58"/>
      <c r="C254" s="49" t="s">
        <v>40</v>
      </c>
      <c r="D254" s="328">
        <f>-'Mode Operating Assumptions'!C181</f>
        <v>-6200000</v>
      </c>
      <c r="E254" s="236"/>
      <c r="F254" s="275">
        <f>F253*$D$254</f>
        <v>0</v>
      </c>
      <c r="G254" s="275">
        <f t="shared" ref="G254:AC254" si="84">G253*$D$254</f>
        <v>0</v>
      </c>
      <c r="H254" s="275">
        <f t="shared" si="84"/>
        <v>0</v>
      </c>
      <c r="I254" s="325">
        <f t="shared" si="84"/>
        <v>0</v>
      </c>
      <c r="J254" s="325">
        <f t="shared" si="84"/>
        <v>-5373.421344198412</v>
      </c>
      <c r="K254" s="325">
        <f t="shared" si="84"/>
        <v>-7522.3836188553187</v>
      </c>
      <c r="L254" s="325">
        <f t="shared" si="84"/>
        <v>-7994.9733287199897</v>
      </c>
      <c r="M254" s="325">
        <f t="shared" si="84"/>
        <v>-8487.0788935015389</v>
      </c>
      <c r="N254" s="325">
        <f t="shared" si="84"/>
        <v>-8999.4459539791187</v>
      </c>
      <c r="O254" s="325">
        <f t="shared" si="84"/>
        <v>-8938.5970945459285</v>
      </c>
      <c r="P254" s="325">
        <f t="shared" si="84"/>
        <v>-8877.0281224623723</v>
      </c>
      <c r="Q254" s="325">
        <f t="shared" si="84"/>
        <v>-8814.7317540001332</v>
      </c>
      <c r="R254" s="325">
        <f t="shared" si="84"/>
        <v>-8751.7006325325092</v>
      </c>
      <c r="S254" s="325">
        <f t="shared" si="84"/>
        <v>-8687.9273278053424</v>
      </c>
      <c r="T254" s="325">
        <f t="shared" si="84"/>
        <v>-8623.4043352007193</v>
      </c>
      <c r="U254" s="325">
        <f t="shared" si="84"/>
        <v>-8558.124074993304</v>
      </c>
      <c r="V254" s="325">
        <f t="shared" si="84"/>
        <v>-8492.078891599178</v>
      </c>
      <c r="W254" s="325">
        <f t="shared" si="84"/>
        <v>-8425.2610528172409</v>
      </c>
      <c r="X254" s="325">
        <f t="shared" si="84"/>
        <v>-8357.6627490629944</v>
      </c>
      <c r="Y254" s="325">
        <f t="shared" si="84"/>
        <v>-8289.2760925946277</v>
      </c>
      <c r="Z254" s="325">
        <f t="shared" si="84"/>
        <v>-8220.0931167314593</v>
      </c>
      <c r="AA254" s="325">
        <f t="shared" si="84"/>
        <v>-8150.1057750644241</v>
      </c>
      <c r="AB254" s="325">
        <f t="shared" si="84"/>
        <v>-8079.3059406588309</v>
      </c>
      <c r="AC254" s="415">
        <f t="shared" si="84"/>
        <v>-8007.685405248978</v>
      </c>
      <c r="AD254" s="383">
        <f t="shared" si="65"/>
        <v>-165650.28550457241</v>
      </c>
    </row>
    <row r="255" spans="1:30" s="112" customFormat="1" ht="12">
      <c r="A255" s="58"/>
      <c r="C255" s="78" t="s">
        <v>560</v>
      </c>
      <c r="D255" s="229">
        <f>'Mode Operating Assumptions'!D192</f>
        <v>2.5164317528336415E-6</v>
      </c>
      <c r="E255" s="236"/>
      <c r="F255" s="55">
        <f>$D$255*(F$11+F$12-F$23+F$30+F$31)</f>
        <v>0</v>
      </c>
      <c r="G255" s="55">
        <f t="shared" ref="G255:AC255" si="85">$D$255*(G$11+G$12-G$23+G$30+G$31)</f>
        <v>0</v>
      </c>
      <c r="H255" s="55">
        <f t="shared" si="85"/>
        <v>0</v>
      </c>
      <c r="I255" s="55">
        <f t="shared" si="85"/>
        <v>0</v>
      </c>
      <c r="J255" s="55">
        <f t="shared" si="85"/>
        <v>2.6417914701327715E-2</v>
      </c>
      <c r="K255" s="55">
        <f t="shared" si="85"/>
        <v>3.6983083228369074E-2</v>
      </c>
      <c r="L255" s="55">
        <f t="shared" si="85"/>
        <v>3.9306525565048996E-2</v>
      </c>
      <c r="M255" s="55">
        <f t="shared" si="85"/>
        <v>4.172591574528936E-2</v>
      </c>
      <c r="N255" s="55">
        <f t="shared" si="85"/>
        <v>4.4244919641025358E-2</v>
      </c>
      <c r="O255" s="55">
        <f t="shared" si="85"/>
        <v>4.3945762014029534E-2</v>
      </c>
      <c r="P255" s="55">
        <f t="shared" si="85"/>
        <v>4.3643064021714459E-2</v>
      </c>
      <c r="Q255" s="55">
        <f t="shared" si="85"/>
        <v>4.3336789854322995E-2</v>
      </c>
      <c r="R255" s="55">
        <f t="shared" si="85"/>
        <v>4.3026903343700004E-2</v>
      </c>
      <c r="S255" s="55">
        <f t="shared" si="85"/>
        <v>4.2713367959708003E-2</v>
      </c>
      <c r="T255" s="55">
        <f t="shared" si="85"/>
        <v>4.2396146806607152E-2</v>
      </c>
      <c r="U255" s="55">
        <f t="shared" si="85"/>
        <v>4.2075202619399135E-2</v>
      </c>
      <c r="V255" s="55">
        <f t="shared" si="85"/>
        <v>4.175049776013412E-2</v>
      </c>
      <c r="W255" s="55">
        <f t="shared" si="85"/>
        <v>4.1421994214181211E-2</v>
      </c>
      <c r="X255" s="55">
        <f t="shared" si="85"/>
        <v>4.1089653586461355E-2</v>
      </c>
      <c r="Y255" s="55">
        <f t="shared" si="85"/>
        <v>4.0753437097642571E-2</v>
      </c>
      <c r="Z255" s="55">
        <f t="shared" si="85"/>
        <v>4.041330558029739E-2</v>
      </c>
      <c r="AA255" s="55">
        <f t="shared" si="85"/>
        <v>4.0069219475021345E-2</v>
      </c>
      <c r="AB255" s="55">
        <f t="shared" si="85"/>
        <v>3.9721138826513382E-2</v>
      </c>
      <c r="AC255" s="290">
        <f t="shared" si="85"/>
        <v>3.9369023279616291E-2</v>
      </c>
      <c r="AD255" s="376">
        <f t="shared" si="65"/>
        <v>0.81440386532040954</v>
      </c>
    </row>
    <row r="256" spans="1:30" s="112" customFormat="1" ht="12">
      <c r="A256" s="58"/>
      <c r="C256" s="49" t="s">
        <v>41</v>
      </c>
      <c r="D256" s="328">
        <f>-'Mode Operating Assumptions'!C177</f>
        <v>-291400</v>
      </c>
      <c r="E256" s="236"/>
      <c r="F256" s="275">
        <f>F255*$D$256</f>
        <v>0</v>
      </c>
      <c r="G256" s="275">
        <f t="shared" ref="G256:AC256" si="86">G255*$D$256</f>
        <v>0</v>
      </c>
      <c r="H256" s="275">
        <f t="shared" si="86"/>
        <v>0</v>
      </c>
      <c r="I256" s="325">
        <f t="shared" si="86"/>
        <v>0</v>
      </c>
      <c r="J256" s="325">
        <f t="shared" si="86"/>
        <v>-7698.1803439668965</v>
      </c>
      <c r="K256" s="325">
        <f t="shared" si="86"/>
        <v>-10776.870452746749</v>
      </c>
      <c r="L256" s="325">
        <f t="shared" si="86"/>
        <v>-11453.921549655277</v>
      </c>
      <c r="M256" s="325">
        <f t="shared" si="86"/>
        <v>-12158.931848177319</v>
      </c>
      <c r="N256" s="325">
        <f t="shared" si="86"/>
        <v>-12892.96958339479</v>
      </c>
      <c r="O256" s="325">
        <f t="shared" si="86"/>
        <v>-12805.795050888206</v>
      </c>
      <c r="P256" s="325">
        <f t="shared" si="86"/>
        <v>-12717.588855927594</v>
      </c>
      <c r="Q256" s="325">
        <f t="shared" si="86"/>
        <v>-12628.34056354972</v>
      </c>
      <c r="R256" s="325">
        <f t="shared" si="86"/>
        <v>-12538.039634354182</v>
      </c>
      <c r="S256" s="325">
        <f t="shared" si="86"/>
        <v>-12446.675423458912</v>
      </c>
      <c r="T256" s="325">
        <f t="shared" si="86"/>
        <v>-12354.237179445325</v>
      </c>
      <c r="U256" s="325">
        <f t="shared" si="86"/>
        <v>-12260.714043292908</v>
      </c>
      <c r="V256" s="325">
        <f t="shared" si="86"/>
        <v>-12166.095047303083</v>
      </c>
      <c r="W256" s="325">
        <f t="shared" si="86"/>
        <v>-12070.369114012405</v>
      </c>
      <c r="X256" s="325">
        <f t="shared" si="86"/>
        <v>-11973.525055094839</v>
      </c>
      <c r="Y256" s="325">
        <f t="shared" si="86"/>
        <v>-11875.551570253045</v>
      </c>
      <c r="Z256" s="325">
        <f t="shared" si="86"/>
        <v>-11776.43724609866</v>
      </c>
      <c r="AA256" s="325">
        <f t="shared" si="86"/>
        <v>-11676.170555021219</v>
      </c>
      <c r="AB256" s="325">
        <f t="shared" si="86"/>
        <v>-11574.739854046</v>
      </c>
      <c r="AC256" s="415">
        <f t="shared" si="86"/>
        <v>-11472.133383680188</v>
      </c>
      <c r="AD256" s="383">
        <f t="shared" si="65"/>
        <v>-237317.28635436727</v>
      </c>
    </row>
    <row r="257" spans="1:30" s="112" customFormat="1" ht="12">
      <c r="A257" s="58"/>
      <c r="D257" s="229"/>
      <c r="E257" s="236"/>
      <c r="G257" s="111"/>
      <c r="H257" s="111"/>
      <c r="I257" s="111"/>
      <c r="J257" s="111"/>
      <c r="K257" s="111"/>
      <c r="L257" s="111"/>
      <c r="M257" s="111"/>
      <c r="N257" s="111"/>
      <c r="O257" s="111"/>
      <c r="P257" s="111"/>
      <c r="Q257" s="111"/>
      <c r="R257" s="111"/>
      <c r="S257" s="111"/>
      <c r="T257" s="111"/>
      <c r="U257" s="111"/>
      <c r="V257" s="111"/>
      <c r="W257" s="111"/>
      <c r="X257" s="111"/>
      <c r="Y257" s="111"/>
      <c r="Z257" s="111"/>
      <c r="AC257" s="282"/>
      <c r="AD257" s="360">
        <f t="shared" si="65"/>
        <v>0</v>
      </c>
    </row>
    <row r="258" spans="1:30" s="112" customFormat="1" ht="12">
      <c r="A258" s="58"/>
      <c r="B258" s="58" t="s">
        <v>225</v>
      </c>
      <c r="C258" s="78" t="s">
        <v>535</v>
      </c>
      <c r="D258" s="229"/>
      <c r="E258" s="236"/>
      <c r="F258" s="55"/>
      <c r="G258" s="55"/>
      <c r="H258" s="55"/>
      <c r="I258" s="55"/>
      <c r="J258" s="55"/>
      <c r="K258" s="55"/>
      <c r="L258" s="55"/>
      <c r="M258" s="55"/>
      <c r="N258" s="55"/>
      <c r="O258" s="55"/>
      <c r="P258" s="55"/>
      <c r="Q258" s="55"/>
      <c r="R258" s="55"/>
      <c r="S258" s="55"/>
      <c r="T258" s="55"/>
      <c r="U258" s="55"/>
      <c r="V258" s="55"/>
      <c r="W258" s="55"/>
      <c r="X258" s="55"/>
      <c r="Y258" s="55"/>
      <c r="Z258" s="55"/>
      <c r="AA258" s="55"/>
      <c r="AB258" s="55"/>
      <c r="AC258" s="290"/>
      <c r="AD258" s="376">
        <f t="shared" si="65"/>
        <v>0</v>
      </c>
    </row>
    <row r="259" spans="1:30" s="112" customFormat="1" ht="12">
      <c r="A259" s="58"/>
      <c r="B259" s="58" t="s">
        <v>536</v>
      </c>
      <c r="C259" s="78" t="s">
        <v>559</v>
      </c>
      <c r="D259" s="229">
        <f>'Mode Operating Assumptions'!$D$197</f>
        <v>1.8722590666405648E-7</v>
      </c>
      <c r="E259" s="236"/>
      <c r="F259" s="55">
        <f t="shared" ref="F259:AC259" si="87">$D$259*(F$16+F$17+F$20+F$21+F$23+F$24+F$25+F$26)</f>
        <v>0</v>
      </c>
      <c r="G259" s="55">
        <f t="shared" si="87"/>
        <v>0</v>
      </c>
      <c r="H259" s="55">
        <f t="shared" si="87"/>
        <v>0</v>
      </c>
      <c r="I259" s="55">
        <f t="shared" si="87"/>
        <v>0</v>
      </c>
      <c r="J259" s="55">
        <f t="shared" si="87"/>
        <v>1.2078337341862257E-2</v>
      </c>
      <c r="K259" s="55">
        <f t="shared" si="87"/>
        <v>1.6492678757268703E-2</v>
      </c>
      <c r="L259" s="55">
        <f t="shared" si="87"/>
        <v>1.6660333846693E-2</v>
      </c>
      <c r="M259" s="55">
        <f t="shared" si="87"/>
        <v>1.6829767034406456E-2</v>
      </c>
      <c r="N259" s="55">
        <f t="shared" si="87"/>
        <v>1.7000999880985999E-2</v>
      </c>
      <c r="O259" s="55">
        <f t="shared" si="87"/>
        <v>1.7169974194213074E-2</v>
      </c>
      <c r="P259" s="55">
        <f t="shared" si="87"/>
        <v>1.7340637484165092E-2</v>
      </c>
      <c r="Q259" s="55">
        <f t="shared" si="87"/>
        <v>1.7513006640042156E-2</v>
      </c>
      <c r="R259" s="55">
        <f t="shared" si="87"/>
        <v>1.7687098719935956E-2</v>
      </c>
      <c r="S259" s="55">
        <f t="shared" si="87"/>
        <v>1.7862930952518678E-2</v>
      </c>
      <c r="T259" s="55">
        <f t="shared" si="87"/>
        <v>1.8040520738748813E-2</v>
      </c>
      <c r="U259" s="55">
        <f t="shared" si="87"/>
        <v>1.821988565359401E-2</v>
      </c>
      <c r="V259" s="55">
        <f t="shared" si="87"/>
        <v>1.8401043447771177E-2</v>
      </c>
      <c r="W259" s="55">
        <f t="shared" si="87"/>
        <v>1.8584012049503967E-2</v>
      </c>
      <c r="X259" s="55">
        <f t="shared" si="87"/>
        <v>1.876880956629786E-2</v>
      </c>
      <c r="Y259" s="55">
        <f t="shared" si="87"/>
        <v>1.8955454286732953E-2</v>
      </c>
      <c r="Z259" s="55">
        <f t="shared" si="87"/>
        <v>1.9143964682274726E-2</v>
      </c>
      <c r="AA259" s="55">
        <f t="shared" si="87"/>
        <v>1.9334359409102896E-2</v>
      </c>
      <c r="AB259" s="55">
        <f t="shared" si="87"/>
        <v>1.9526657309958551E-2</v>
      </c>
      <c r="AC259" s="290">
        <f t="shared" si="87"/>
        <v>1.972087741600977E-2</v>
      </c>
      <c r="AD259" s="376">
        <f t="shared" si="65"/>
        <v>0.35533134941208611</v>
      </c>
    </row>
    <row r="260" spans="1:30" s="112" customFormat="1" ht="12">
      <c r="A260" s="58"/>
      <c r="C260" s="49" t="s">
        <v>40</v>
      </c>
      <c r="D260" s="328">
        <f>D254</f>
        <v>-6200000</v>
      </c>
      <c r="E260" s="236"/>
      <c r="F260" s="275">
        <f>F259*$D$260</f>
        <v>0</v>
      </c>
      <c r="G260" s="275">
        <f t="shared" ref="G260:AC260" si="88">G259*$D$260</f>
        <v>0</v>
      </c>
      <c r="H260" s="275">
        <f t="shared" si="88"/>
        <v>0</v>
      </c>
      <c r="I260" s="275">
        <f t="shared" si="88"/>
        <v>0</v>
      </c>
      <c r="J260" s="275">
        <f t="shared" si="88"/>
        <v>-74885.691519545988</v>
      </c>
      <c r="K260" s="275">
        <f t="shared" si="88"/>
        <v>-102254.60829506596</v>
      </c>
      <c r="L260" s="275">
        <f t="shared" si="88"/>
        <v>-103294.06984949661</v>
      </c>
      <c r="M260" s="275">
        <f t="shared" si="88"/>
        <v>-104344.55561332003</v>
      </c>
      <c r="N260" s="275">
        <f t="shared" si="88"/>
        <v>-105406.19926211319</v>
      </c>
      <c r="O260" s="275">
        <f t="shared" si="88"/>
        <v>-106453.84000412106</v>
      </c>
      <c r="P260" s="275">
        <f t="shared" si="88"/>
        <v>-107511.95240182357</v>
      </c>
      <c r="Q260" s="275">
        <f t="shared" si="88"/>
        <v>-108580.64116826137</v>
      </c>
      <c r="R260" s="275">
        <f t="shared" si="88"/>
        <v>-109660.01206360293</v>
      </c>
      <c r="S260" s="275">
        <f t="shared" si="88"/>
        <v>-110750.1719056158</v>
      </c>
      <c r="T260" s="275">
        <f t="shared" si="88"/>
        <v>-111851.22858024263</v>
      </c>
      <c r="U260" s="275">
        <f t="shared" si="88"/>
        <v>-112963.29105228286</v>
      </c>
      <c r="V260" s="275">
        <f t="shared" si="88"/>
        <v>-114086.4693761813</v>
      </c>
      <c r="W260" s="275">
        <f t="shared" si="88"/>
        <v>-115220.8747069246</v>
      </c>
      <c r="X260" s="275">
        <f t="shared" si="88"/>
        <v>-116366.61931104673</v>
      </c>
      <c r="Y260" s="275">
        <f t="shared" si="88"/>
        <v>-117523.81657774431</v>
      </c>
      <c r="Z260" s="275">
        <f t="shared" si="88"/>
        <v>-118692.58103010331</v>
      </c>
      <c r="AA260" s="275">
        <f t="shared" si="88"/>
        <v>-119873.02833643796</v>
      </c>
      <c r="AB260" s="275">
        <f t="shared" si="88"/>
        <v>-121065.27532174301</v>
      </c>
      <c r="AC260" s="288">
        <f t="shared" si="88"/>
        <v>-122269.43997926057</v>
      </c>
      <c r="AD260" s="369">
        <f t="shared" si="65"/>
        <v>-2203054.3663549339</v>
      </c>
    </row>
    <row r="261" spans="1:30" s="112" customFormat="1" ht="12">
      <c r="A261" s="58"/>
      <c r="B261" s="58"/>
      <c r="C261" s="78" t="s">
        <v>560</v>
      </c>
      <c r="D261" s="229">
        <f>'Mode Operating Assumptions'!$D$198</f>
        <v>8.7375046258002826E-6</v>
      </c>
      <c r="E261" s="236"/>
      <c r="F261" s="55">
        <f t="shared" ref="F261:AC261" si="89">$D$261*(F$16+F$17+F$20+F$21+F$23+F$24+F$25+F$26)</f>
        <v>0</v>
      </c>
      <c r="G261" s="55">
        <f t="shared" si="89"/>
        <v>0</v>
      </c>
      <c r="H261" s="55">
        <f t="shared" si="89"/>
        <v>0</v>
      </c>
      <c r="I261" s="55">
        <f t="shared" si="89"/>
        <v>0</v>
      </c>
      <c r="J261" s="55">
        <f t="shared" si="89"/>
        <v>0.56367481550435572</v>
      </c>
      <c r="K261" s="55">
        <f t="shared" si="89"/>
        <v>0.76968438556980168</v>
      </c>
      <c r="L261" s="55">
        <f t="shared" si="89"/>
        <v>0.77750855448683198</v>
      </c>
      <c r="M261" s="55">
        <f t="shared" si="89"/>
        <v>0.78541570413181561</v>
      </c>
      <c r="N261" s="55">
        <f t="shared" si="89"/>
        <v>0.7934068406990552</v>
      </c>
      <c r="O261" s="55">
        <f t="shared" si="89"/>
        <v>0.80129257547673283</v>
      </c>
      <c r="P261" s="55">
        <f t="shared" si="89"/>
        <v>0.8092571318353019</v>
      </c>
      <c r="Q261" s="55">
        <f t="shared" si="89"/>
        <v>0.81730129796410322</v>
      </c>
      <c r="R261" s="55">
        <f t="shared" si="89"/>
        <v>0.8254258699343523</v>
      </c>
      <c r="S261" s="55">
        <f t="shared" si="89"/>
        <v>0.83363165177795695</v>
      </c>
      <c r="T261" s="55">
        <f t="shared" si="89"/>
        <v>0.84191945556712433</v>
      </c>
      <c r="U261" s="55">
        <f t="shared" si="89"/>
        <v>0.85029010149476436</v>
      </c>
      <c r="V261" s="55">
        <f t="shared" si="89"/>
        <v>0.858744417955696</v>
      </c>
      <c r="W261" s="55">
        <f t="shared" si="89"/>
        <v>0.86728324162866677</v>
      </c>
      <c r="X261" s="55">
        <f t="shared" si="89"/>
        <v>0.87590741755919266</v>
      </c>
      <c r="Y261" s="55">
        <f t="shared" si="89"/>
        <v>0.88461779924322437</v>
      </c>
      <c r="Z261" s="55">
        <f t="shared" si="89"/>
        <v>0.89341524871165245</v>
      </c>
      <c r="AA261" s="55">
        <f t="shared" si="89"/>
        <v>0.90230063661565718</v>
      </c>
      <c r="AB261" s="55">
        <f t="shared" si="89"/>
        <v>0.91127484231291034</v>
      </c>
      <c r="AC261" s="290">
        <f t="shared" si="89"/>
        <v>0.92033875395464115</v>
      </c>
      <c r="AD261" s="376">
        <f t="shared" si="65"/>
        <v>16.582690742423836</v>
      </c>
    </row>
    <row r="262" spans="1:30" s="112" customFormat="1" ht="12">
      <c r="A262" s="58"/>
      <c r="C262" s="49" t="s">
        <v>41</v>
      </c>
      <c r="D262" s="328">
        <f>D256</f>
        <v>-291400</v>
      </c>
      <c r="E262" s="236"/>
      <c r="F262" s="275">
        <f>F261*$D$262</f>
        <v>0</v>
      </c>
      <c r="G262" s="275">
        <f t="shared" ref="G262:AC262" si="90">G261*$D$262</f>
        <v>0</v>
      </c>
      <c r="H262" s="275">
        <f t="shared" si="90"/>
        <v>0</v>
      </c>
      <c r="I262" s="275">
        <f t="shared" si="90"/>
        <v>0</v>
      </c>
      <c r="J262" s="275">
        <f t="shared" si="90"/>
        <v>-164254.84123796926</v>
      </c>
      <c r="K262" s="275">
        <f t="shared" si="90"/>
        <v>-224286.0299550402</v>
      </c>
      <c r="L262" s="275">
        <f t="shared" si="90"/>
        <v>-226565.99277746284</v>
      </c>
      <c r="M262" s="275">
        <f t="shared" si="90"/>
        <v>-228870.13618401106</v>
      </c>
      <c r="N262" s="275">
        <f t="shared" si="90"/>
        <v>-231198.75337970469</v>
      </c>
      <c r="O262" s="275">
        <f t="shared" si="90"/>
        <v>-233496.65649391996</v>
      </c>
      <c r="P262" s="275">
        <f t="shared" si="90"/>
        <v>-235817.52821680697</v>
      </c>
      <c r="Q262" s="275">
        <f t="shared" si="90"/>
        <v>-238161.59822673968</v>
      </c>
      <c r="R262" s="275">
        <f t="shared" si="90"/>
        <v>-240529.09849887027</v>
      </c>
      <c r="S262" s="275">
        <f t="shared" si="90"/>
        <v>-242920.26332809665</v>
      </c>
      <c r="T262" s="275">
        <f t="shared" si="90"/>
        <v>-245335.32935226004</v>
      </c>
      <c r="U262" s="275">
        <f t="shared" si="90"/>
        <v>-247774.53557557432</v>
      </c>
      <c r="V262" s="275">
        <f t="shared" si="90"/>
        <v>-250238.12339228982</v>
      </c>
      <c r="W262" s="275">
        <f t="shared" si="90"/>
        <v>-252726.33661059348</v>
      </c>
      <c r="X262" s="275">
        <f t="shared" si="90"/>
        <v>-255239.42147674874</v>
      </c>
      <c r="Y262" s="275">
        <f t="shared" si="90"/>
        <v>-257777.62669947557</v>
      </c>
      <c r="Z262" s="275">
        <f t="shared" si="90"/>
        <v>-260341.20347457554</v>
      </c>
      <c r="AA262" s="275">
        <f t="shared" si="90"/>
        <v>-262930.40550980251</v>
      </c>
      <c r="AB262" s="275">
        <f t="shared" si="90"/>
        <v>-265545.48904998205</v>
      </c>
      <c r="AC262" s="288">
        <f t="shared" si="90"/>
        <v>-268186.71290238242</v>
      </c>
      <c r="AD262" s="369">
        <f t="shared" ref="AD262:AD281" si="91">SUM(F262:AC262)</f>
        <v>-4832196.0823423062</v>
      </c>
    </row>
    <row r="263" spans="1:30" s="112" customFormat="1" ht="12">
      <c r="A263" s="58"/>
      <c r="B263" s="58"/>
      <c r="C263" s="49"/>
      <c r="D263" s="229"/>
      <c r="E263" s="236"/>
      <c r="F263" s="275"/>
      <c r="G263" s="275"/>
      <c r="H263" s="275"/>
      <c r="I263" s="275"/>
      <c r="J263" s="275"/>
      <c r="K263" s="275"/>
      <c r="L263" s="275"/>
      <c r="M263" s="275"/>
      <c r="N263" s="275"/>
      <c r="O263" s="275"/>
      <c r="P263" s="275"/>
      <c r="Q263" s="275"/>
      <c r="R263" s="275"/>
      <c r="S263" s="275"/>
      <c r="T263" s="275"/>
      <c r="U263" s="275"/>
      <c r="V263" s="275"/>
      <c r="W263" s="275"/>
      <c r="X263" s="275"/>
      <c r="Y263" s="275"/>
      <c r="Z263" s="275"/>
      <c r="AA263" s="275"/>
      <c r="AB263" s="275"/>
      <c r="AC263" s="288"/>
      <c r="AD263" s="369">
        <f t="shared" si="91"/>
        <v>0</v>
      </c>
    </row>
    <row r="264" spans="1:30" s="112" customFormat="1" ht="12">
      <c r="A264" s="58"/>
      <c r="B264" s="58" t="s">
        <v>545</v>
      </c>
      <c r="C264" s="78" t="s">
        <v>546</v>
      </c>
      <c r="D264" s="229"/>
      <c r="E264" s="236"/>
      <c r="AC264" s="282"/>
      <c r="AD264" s="360">
        <f t="shared" si="91"/>
        <v>0</v>
      </c>
    </row>
    <row r="265" spans="1:30" s="112" customFormat="1" ht="12">
      <c r="A265" s="58"/>
      <c r="B265" s="58"/>
      <c r="C265" s="78" t="s">
        <v>559</v>
      </c>
      <c r="D265" s="229">
        <f>'Mode Operating Assumptions'!$D$186</f>
        <v>8.6836127924972328E-9</v>
      </c>
      <c r="E265" s="236"/>
      <c r="F265" s="55">
        <f>$D265*F$37</f>
        <v>0</v>
      </c>
      <c r="G265" s="55">
        <f t="shared" ref="G265:AC265" si="92">$D265*G$37</f>
        <v>0</v>
      </c>
      <c r="H265" s="55">
        <f t="shared" si="92"/>
        <v>0</v>
      </c>
      <c r="I265" s="55">
        <f t="shared" si="92"/>
        <v>0</v>
      </c>
      <c r="J265" s="55">
        <f t="shared" si="92"/>
        <v>-1.6555191944008275E-3</v>
      </c>
      <c r="K265" s="55">
        <f t="shared" si="92"/>
        <v>-2.2709174886313367E-3</v>
      </c>
      <c r="L265" s="55">
        <f t="shared" si="92"/>
        <v>-2.3161422319954547E-3</v>
      </c>
      <c r="M265" s="55">
        <f t="shared" si="92"/>
        <v>-2.3626572522519569E-3</v>
      </c>
      <c r="N265" s="55">
        <f t="shared" si="92"/>
        <v>-2.4105066436262224E-3</v>
      </c>
      <c r="O265" s="55">
        <f t="shared" si="92"/>
        <v>-2.4260646170614301E-3</v>
      </c>
      <c r="P265" s="55">
        <f t="shared" si="92"/>
        <v>-2.441771845382168E-3</v>
      </c>
      <c r="Q265" s="55">
        <f t="shared" si="92"/>
        <v>-2.4576298164569058E-3</v>
      </c>
      <c r="R265" s="55">
        <f t="shared" si="92"/>
        <v>-2.4736400330293284E-3</v>
      </c>
      <c r="S265" s="55">
        <f t="shared" si="92"/>
        <v>-2.4898040128670984E-3</v>
      </c>
      <c r="T265" s="55">
        <f t="shared" si="92"/>
        <v>-2.5061232889120812E-3</v>
      </c>
      <c r="U265" s="55">
        <f t="shared" si="92"/>
        <v>-2.5225994094320919E-3</v>
      </c>
      <c r="V265" s="55">
        <f t="shared" si="92"/>
        <v>-2.5392339381741505E-3</v>
      </c>
      <c r="W265" s="55">
        <f t="shared" si="92"/>
        <v>-2.5560284545192674E-3</v>
      </c>
      <c r="X265" s="55">
        <f t="shared" si="92"/>
        <v>-2.5729845536387897E-3</v>
      </c>
      <c r="Y265" s="55">
        <f t="shared" si="92"/>
        <v>-2.5901038466522915E-3</v>
      </c>
      <c r="Z265" s="55">
        <f t="shared" si="92"/>
        <v>-2.607387960787062E-3</v>
      </c>
      <c r="AA265" s="55">
        <f t="shared" si="92"/>
        <v>-2.6248385395391742E-3</v>
      </c>
      <c r="AB265" s="55">
        <f t="shared" si="92"/>
        <v>-2.6424572428361739E-3</v>
      </c>
      <c r="AC265" s="290">
        <f t="shared" si="92"/>
        <v>-2.6602457472013918E-3</v>
      </c>
      <c r="AD265" s="376">
        <f t="shared" si="91"/>
        <v>-4.9126656117395202E-2</v>
      </c>
    </row>
    <row r="266" spans="1:30" s="112" customFormat="1" ht="12">
      <c r="A266" s="58"/>
      <c r="B266" s="58"/>
      <c r="C266" s="49" t="s">
        <v>40</v>
      </c>
      <c r="D266" s="328">
        <f>D260</f>
        <v>-6200000</v>
      </c>
      <c r="E266" s="236"/>
      <c r="F266" s="275">
        <f>F265*$D$266</f>
        <v>0</v>
      </c>
      <c r="G266" s="275">
        <f t="shared" ref="G266:AC266" si="93">G265*$D$266</f>
        <v>0</v>
      </c>
      <c r="H266" s="275">
        <f t="shared" si="93"/>
        <v>0</v>
      </c>
      <c r="I266" s="275">
        <f t="shared" si="93"/>
        <v>0</v>
      </c>
      <c r="J266" s="275">
        <f t="shared" si="93"/>
        <v>10264.219005285131</v>
      </c>
      <c r="K266" s="275">
        <f t="shared" si="93"/>
        <v>14079.688429514288</v>
      </c>
      <c r="L266" s="275">
        <f t="shared" si="93"/>
        <v>14360.08183837182</v>
      </c>
      <c r="M266" s="275">
        <f t="shared" si="93"/>
        <v>14648.474963962133</v>
      </c>
      <c r="N266" s="275">
        <f t="shared" si="93"/>
        <v>14945.141190482578</v>
      </c>
      <c r="O266" s="275">
        <f t="shared" si="93"/>
        <v>15041.600625780866</v>
      </c>
      <c r="P266" s="275">
        <f t="shared" si="93"/>
        <v>15138.985441369441</v>
      </c>
      <c r="Q266" s="275">
        <f t="shared" si="93"/>
        <v>15237.304862032815</v>
      </c>
      <c r="R266" s="275">
        <f t="shared" si="93"/>
        <v>15336.568204781835</v>
      </c>
      <c r="S266" s="275">
        <f t="shared" si="93"/>
        <v>15436.784879776011</v>
      </c>
      <c r="T266" s="275">
        <f t="shared" si="93"/>
        <v>15537.964391254904</v>
      </c>
      <c r="U266" s="275">
        <f t="shared" si="93"/>
        <v>15640.116338478971</v>
      </c>
      <c r="V266" s="275">
        <f t="shared" si="93"/>
        <v>15743.250416679733</v>
      </c>
      <c r="W266" s="275">
        <f t="shared" si="93"/>
        <v>15847.376418019458</v>
      </c>
      <c r="X266" s="275">
        <f t="shared" si="93"/>
        <v>15952.504232560495</v>
      </c>
      <c r="Y266" s="275">
        <f t="shared" si="93"/>
        <v>16058.643849244207</v>
      </c>
      <c r="Z266" s="275">
        <f t="shared" si="93"/>
        <v>16165.805356879784</v>
      </c>
      <c r="AA266" s="275">
        <f t="shared" si="93"/>
        <v>16273.998945142879</v>
      </c>
      <c r="AB266" s="275">
        <f t="shared" si="93"/>
        <v>16383.234905584279</v>
      </c>
      <c r="AC266" s="288">
        <f t="shared" si="93"/>
        <v>16493.52363264863</v>
      </c>
      <c r="AD266" s="369">
        <f t="shared" si="91"/>
        <v>304585.26792785025</v>
      </c>
    </row>
    <row r="267" spans="1:30" s="112" customFormat="1" ht="12">
      <c r="A267" s="58"/>
      <c r="B267" s="58"/>
      <c r="C267" s="78" t="s">
        <v>560</v>
      </c>
      <c r="D267" s="229">
        <f>'Mode Operating Assumptions'!$D$187</f>
        <v>8.1339537419145546E-7</v>
      </c>
      <c r="E267" s="236"/>
      <c r="F267" s="55">
        <f>$D267*F$37</f>
        <v>0</v>
      </c>
      <c r="G267" s="55">
        <f t="shared" ref="G267:AC267" si="94">$D267*G$37</f>
        <v>0</v>
      </c>
      <c r="H267" s="55">
        <f t="shared" si="94"/>
        <v>0</v>
      </c>
      <c r="I267" s="55">
        <f t="shared" si="94"/>
        <v>0</v>
      </c>
      <c r="J267" s="55">
        <f t="shared" si="94"/>
        <v>-0.15507274296871837</v>
      </c>
      <c r="K267" s="55">
        <f t="shared" si="94"/>
        <v>-0.21271719784870807</v>
      </c>
      <c r="L267" s="55">
        <f t="shared" si="94"/>
        <v>-0.21695340666298785</v>
      </c>
      <c r="M267" s="55">
        <f t="shared" si="94"/>
        <v>-0.22131047591643854</v>
      </c>
      <c r="N267" s="55">
        <f t="shared" si="94"/>
        <v>-0.22579253592207718</v>
      </c>
      <c r="O267" s="55">
        <f t="shared" si="94"/>
        <v>-0.22724985373741385</v>
      </c>
      <c r="P267" s="55">
        <f t="shared" si="94"/>
        <v>-0.22872115228132128</v>
      </c>
      <c r="Q267" s="55">
        <f t="shared" si="94"/>
        <v>-0.23020657092267277</v>
      </c>
      <c r="R267" s="55">
        <f t="shared" si="94"/>
        <v>-0.2317062504237053</v>
      </c>
      <c r="S267" s="55">
        <f t="shared" si="94"/>
        <v>-0.23322033295395422</v>
      </c>
      <c r="T267" s="55">
        <f t="shared" si="94"/>
        <v>-0.23474896210432486</v>
      </c>
      <c r="U267" s="55">
        <f t="shared" si="94"/>
        <v>-0.23629228290130658</v>
      </c>
      <c r="V267" s="55">
        <f t="shared" si="94"/>
        <v>-0.23785044182132839</v>
      </c>
      <c r="W267" s="55">
        <f t="shared" si="94"/>
        <v>-0.23942358680525766</v>
      </c>
      <c r="X267" s="55">
        <f t="shared" si="94"/>
        <v>-0.24101186727304497</v>
      </c>
      <c r="Y267" s="55">
        <f t="shared" si="94"/>
        <v>-0.24261543413851386</v>
      </c>
      <c r="Z267" s="55">
        <f t="shared" si="94"/>
        <v>-0.24423443982430015</v>
      </c>
      <c r="AA267" s="55">
        <f t="shared" si="94"/>
        <v>-0.24586903827693909</v>
      </c>
      <c r="AB267" s="55">
        <f t="shared" si="94"/>
        <v>-0.24751938498210466</v>
      </c>
      <c r="AC267" s="290">
        <f t="shared" si="94"/>
        <v>-0.24918563698000054</v>
      </c>
      <c r="AD267" s="376">
        <f t="shared" si="91"/>
        <v>-4.6017015947451183</v>
      </c>
    </row>
    <row r="268" spans="1:30" s="112" customFormat="1" ht="12">
      <c r="A268" s="58"/>
      <c r="B268" s="58"/>
      <c r="C268" s="49" t="s">
        <v>41</v>
      </c>
      <c r="D268" s="328">
        <f>D262</f>
        <v>-291400</v>
      </c>
      <c r="E268" s="236"/>
      <c r="F268" s="275">
        <f>F267*$D$268</f>
        <v>0</v>
      </c>
      <c r="G268" s="275">
        <f t="shared" ref="G268:AC268" si="95">G267*$D$268</f>
        <v>0</v>
      </c>
      <c r="H268" s="275">
        <f t="shared" si="95"/>
        <v>0</v>
      </c>
      <c r="I268" s="275">
        <f t="shared" si="95"/>
        <v>0</v>
      </c>
      <c r="J268" s="275">
        <f t="shared" si="95"/>
        <v>45188.197301084532</v>
      </c>
      <c r="K268" s="275">
        <f t="shared" si="95"/>
        <v>61985.791453113532</v>
      </c>
      <c r="L268" s="275">
        <f t="shared" si="95"/>
        <v>63220.222701594656</v>
      </c>
      <c r="M268" s="275">
        <f t="shared" si="95"/>
        <v>64489.872682050191</v>
      </c>
      <c r="N268" s="275">
        <f t="shared" si="95"/>
        <v>65795.944967693285</v>
      </c>
      <c r="O268" s="275">
        <f t="shared" si="95"/>
        <v>66220.607379082401</v>
      </c>
      <c r="P268" s="275">
        <f t="shared" si="95"/>
        <v>66649.343774777022</v>
      </c>
      <c r="Q268" s="275">
        <f t="shared" si="95"/>
        <v>67082.194766866844</v>
      </c>
      <c r="R268" s="275">
        <f t="shared" si="95"/>
        <v>67519.201373467717</v>
      </c>
      <c r="S268" s="275">
        <f t="shared" si="95"/>
        <v>67960.405022782259</v>
      </c>
      <c r="T268" s="275">
        <f t="shared" si="95"/>
        <v>68405.847557200264</v>
      </c>
      <c r="U268" s="275">
        <f t="shared" si="95"/>
        <v>68855.57123744073</v>
      </c>
      <c r="V268" s="275">
        <f t="shared" si="95"/>
        <v>69309.618746735097</v>
      </c>
      <c r="W268" s="275">
        <f t="shared" si="95"/>
        <v>69768.033195052078</v>
      </c>
      <c r="X268" s="275">
        <f t="shared" si="95"/>
        <v>70230.858123365309</v>
      </c>
      <c r="Y268" s="275">
        <f t="shared" si="95"/>
        <v>70698.137507962936</v>
      </c>
      <c r="Z268" s="275">
        <f t="shared" si="95"/>
        <v>71169.915764801059</v>
      </c>
      <c r="AA268" s="275">
        <f t="shared" si="95"/>
        <v>71646.237753900059</v>
      </c>
      <c r="AB268" s="275">
        <f t="shared" si="95"/>
        <v>72127.148783785291</v>
      </c>
      <c r="AC268" s="288">
        <f t="shared" si="95"/>
        <v>72612.694615972156</v>
      </c>
      <c r="AD268" s="369">
        <f t="shared" si="91"/>
        <v>1340935.8447087274</v>
      </c>
    </row>
    <row r="269" spans="1:30" s="112" customFormat="1" ht="12">
      <c r="A269" s="58"/>
      <c r="B269" s="58"/>
      <c r="C269" s="78" t="s">
        <v>572</v>
      </c>
      <c r="D269" s="229">
        <f>'Mode Operating Assumptions'!$D$185</f>
        <v>1.8640215942009768E-6</v>
      </c>
      <c r="E269" s="236"/>
      <c r="F269" s="55">
        <f>$D269*F$37</f>
        <v>0</v>
      </c>
      <c r="G269" s="55">
        <f t="shared" ref="G269:AC269" si="96">$D269*G$37</f>
        <v>0</v>
      </c>
      <c r="H269" s="55">
        <f t="shared" si="96"/>
        <v>0</v>
      </c>
      <c r="I269" s="55">
        <f t="shared" si="96"/>
        <v>0</v>
      </c>
      <c r="J269" s="55">
        <f t="shared" si="96"/>
        <v>-0.35537323021169603</v>
      </c>
      <c r="K269" s="55">
        <f t="shared" si="96"/>
        <v>-0.48747443473238117</v>
      </c>
      <c r="L269" s="55">
        <f t="shared" si="96"/>
        <v>-0.49718236393619714</v>
      </c>
      <c r="M269" s="55">
        <f t="shared" si="96"/>
        <v>-0.50716726357240971</v>
      </c>
      <c r="N269" s="55">
        <f t="shared" si="96"/>
        <v>-0.51743859889358701</v>
      </c>
      <c r="O269" s="55">
        <f t="shared" si="96"/>
        <v>-0.52077826858386722</v>
      </c>
      <c r="P269" s="55">
        <f t="shared" si="96"/>
        <v>-0.524149977280989</v>
      </c>
      <c r="Q269" s="55">
        <f t="shared" si="96"/>
        <v>-0.5275540443703306</v>
      </c>
      <c r="R269" s="55">
        <f t="shared" si="96"/>
        <v>-0.53099079243037939</v>
      </c>
      <c r="S269" s="55">
        <f t="shared" si="96"/>
        <v>-0.53446054726466519</v>
      </c>
      <c r="T269" s="55">
        <f t="shared" si="96"/>
        <v>-0.53796363793400703</v>
      </c>
      <c r="U269" s="55">
        <f t="shared" si="96"/>
        <v>-0.5415003967890879</v>
      </c>
      <c r="V269" s="55">
        <f t="shared" si="96"/>
        <v>-0.54507115950335172</v>
      </c>
      <c r="W269" s="55">
        <f t="shared" si="96"/>
        <v>-0.54867626510623024</v>
      </c>
      <c r="X269" s="55">
        <f t="shared" si="96"/>
        <v>-0.55231605601670364</v>
      </c>
      <c r="Y269" s="55">
        <f t="shared" si="96"/>
        <v>-0.5559908780771935</v>
      </c>
      <c r="Z269" s="55">
        <f t="shared" si="96"/>
        <v>-0.55970108058779877</v>
      </c>
      <c r="AA269" s="55">
        <f t="shared" si="96"/>
        <v>-0.56344701634086991</v>
      </c>
      <c r="AB269" s="55">
        <f t="shared" si="96"/>
        <v>-0.56722904165593269</v>
      </c>
      <c r="AC269" s="290">
        <f t="shared" si="96"/>
        <v>-0.57104751641495854</v>
      </c>
      <c r="AD269" s="376">
        <f t="shared" si="91"/>
        <v>-10.545512569702636</v>
      </c>
    </row>
    <row r="270" spans="1:30" s="112" customFormat="1" ht="12">
      <c r="A270" s="58"/>
      <c r="B270" s="58"/>
      <c r="C270" s="49" t="s">
        <v>547</v>
      </c>
      <c r="D270" s="328">
        <f>-'Mode Operating Assumptions'!C174</f>
        <v>-3285</v>
      </c>
      <c r="E270" s="236"/>
      <c r="F270" s="275">
        <f>F269*$D$270</f>
        <v>0</v>
      </c>
      <c r="G270" s="275">
        <f t="shared" ref="G270:AC270" si="97">G269*$D$270</f>
        <v>0</v>
      </c>
      <c r="H270" s="275">
        <f t="shared" si="97"/>
        <v>0</v>
      </c>
      <c r="I270" s="275">
        <f t="shared" si="97"/>
        <v>0</v>
      </c>
      <c r="J270" s="275">
        <f t="shared" si="97"/>
        <v>1167.4010612454215</v>
      </c>
      <c r="K270" s="275">
        <f t="shared" si="97"/>
        <v>1601.3535180958722</v>
      </c>
      <c r="L270" s="275">
        <f t="shared" si="97"/>
        <v>1633.2440655304076</v>
      </c>
      <c r="M270" s="275">
        <f t="shared" si="97"/>
        <v>1666.044460835366</v>
      </c>
      <c r="N270" s="275">
        <f t="shared" si="97"/>
        <v>1699.7857973654334</v>
      </c>
      <c r="O270" s="275">
        <f t="shared" si="97"/>
        <v>1710.7566122980038</v>
      </c>
      <c r="P270" s="275">
        <f t="shared" si="97"/>
        <v>1721.832675368049</v>
      </c>
      <c r="Q270" s="275">
        <f t="shared" si="97"/>
        <v>1733.015035756536</v>
      </c>
      <c r="R270" s="275">
        <f t="shared" si="97"/>
        <v>1744.3047531337963</v>
      </c>
      <c r="S270" s="275">
        <f t="shared" si="97"/>
        <v>1755.7028977644252</v>
      </c>
      <c r="T270" s="275">
        <f t="shared" si="97"/>
        <v>1767.2105506132132</v>
      </c>
      <c r="U270" s="275">
        <f t="shared" si="97"/>
        <v>1778.8288034521538</v>
      </c>
      <c r="V270" s="275">
        <f t="shared" si="97"/>
        <v>1790.5587589685103</v>
      </c>
      <c r="W270" s="275">
        <f t="shared" si="97"/>
        <v>1802.4015308739663</v>
      </c>
      <c r="X270" s="275">
        <f t="shared" si="97"/>
        <v>1814.3582440148714</v>
      </c>
      <c r="Y270" s="275">
        <f t="shared" si="97"/>
        <v>1826.4300344835806</v>
      </c>
      <c r="Z270" s="275">
        <f t="shared" si="97"/>
        <v>1838.618049730919</v>
      </c>
      <c r="AA270" s="275">
        <f t="shared" si="97"/>
        <v>1850.9234486797577</v>
      </c>
      <c r="AB270" s="275">
        <f t="shared" si="97"/>
        <v>1863.347401839739</v>
      </c>
      <c r="AC270" s="288">
        <f t="shared" si="97"/>
        <v>1875.8910914231387</v>
      </c>
      <c r="AD270" s="369">
        <f t="shared" si="91"/>
        <v>34642.008791473156</v>
      </c>
    </row>
    <row r="271" spans="1:30" s="112" customFormat="1" ht="12">
      <c r="A271" s="58"/>
      <c r="B271" s="58"/>
      <c r="D271" s="328"/>
      <c r="E271" s="236"/>
      <c r="F271" s="275"/>
      <c r="G271" s="275"/>
      <c r="H271" s="275"/>
      <c r="I271" s="275"/>
      <c r="J271" s="275"/>
      <c r="K271" s="275"/>
      <c r="L271" s="275"/>
      <c r="M271" s="275"/>
      <c r="N271" s="275"/>
      <c r="O271" s="275"/>
      <c r="P271" s="275"/>
      <c r="Q271" s="275"/>
      <c r="R271" s="275"/>
      <c r="S271" s="275"/>
      <c r="T271" s="275"/>
      <c r="U271" s="275"/>
      <c r="V271" s="275"/>
      <c r="W271" s="275"/>
      <c r="X271" s="275"/>
      <c r="Y271" s="275"/>
      <c r="Z271" s="275"/>
      <c r="AA271" s="275"/>
      <c r="AB271" s="275"/>
      <c r="AC271" s="288"/>
      <c r="AD271" s="369">
        <f t="shared" si="91"/>
        <v>0</v>
      </c>
    </row>
    <row r="272" spans="1:30" s="5" customFormat="1" ht="12">
      <c r="A272" s="58"/>
      <c r="B272" s="58"/>
      <c r="C272" s="315" t="s">
        <v>537</v>
      </c>
      <c r="D272" s="231"/>
      <c r="E272" s="239"/>
      <c r="F272" s="83">
        <f t="shared" ref="F272:AC272" si="98">F249+F251+F254+F256+F260+F262+F266+F268+F270</f>
        <v>0</v>
      </c>
      <c r="G272" s="83">
        <f t="shared" si="98"/>
        <v>0</v>
      </c>
      <c r="H272" s="83">
        <f t="shared" si="98"/>
        <v>0</v>
      </c>
      <c r="I272" s="83">
        <f t="shared" si="98"/>
        <v>0</v>
      </c>
      <c r="J272" s="83">
        <f t="shared" si="98"/>
        <v>186456.06434444172</v>
      </c>
      <c r="K272" s="83">
        <f t="shared" si="98"/>
        <v>261184.5706510859</v>
      </c>
      <c r="L272" s="83">
        <f t="shared" si="98"/>
        <v>277927.69164490525</v>
      </c>
      <c r="M272" s="83">
        <f t="shared" si="98"/>
        <v>295364.20991485607</v>
      </c>
      <c r="N272" s="83">
        <f t="shared" si="98"/>
        <v>313520.63589068392</v>
      </c>
      <c r="O272" s="83">
        <f t="shared" si="98"/>
        <v>311291.49516578513</v>
      </c>
      <c r="P272" s="83">
        <f t="shared" si="98"/>
        <v>309036.09341679519</v>
      </c>
      <c r="Q272" s="83">
        <f t="shared" si="98"/>
        <v>306754.16509595688</v>
      </c>
      <c r="R272" s="83">
        <f t="shared" si="98"/>
        <v>304445.44199786161</v>
      </c>
      <c r="S272" s="83">
        <f t="shared" si="98"/>
        <v>302109.65323287103</v>
      </c>
      <c r="T272" s="83">
        <f t="shared" si="98"/>
        <v>299746.52520027343</v>
      </c>
      <c r="U272" s="83">
        <f t="shared" si="98"/>
        <v>297355.7815611721</v>
      </c>
      <c r="V272" s="83">
        <f t="shared" si="98"/>
        <v>294937.14321110025</v>
      </c>
      <c r="W272" s="83">
        <f t="shared" si="98"/>
        <v>292490.32825236511</v>
      </c>
      <c r="X272" s="83">
        <f t="shared" si="98"/>
        <v>290015.05196611327</v>
      </c>
      <c r="Y272" s="83">
        <f t="shared" si="98"/>
        <v>287511.02678411797</v>
      </c>
      <c r="Z272" s="83">
        <f t="shared" si="98"/>
        <v>284977.96226028388</v>
      </c>
      <c r="AA272" s="83">
        <f t="shared" si="98"/>
        <v>282415.56504186511</v>
      </c>
      <c r="AB272" s="83">
        <f t="shared" si="98"/>
        <v>279823.53884040046</v>
      </c>
      <c r="AC272" s="292">
        <f t="shared" si="98"/>
        <v>277201.58440235018</v>
      </c>
      <c r="AD272" s="378">
        <f t="shared" si="91"/>
        <v>5754564.528875283</v>
      </c>
    </row>
    <row r="273" spans="1:60" s="112" customFormat="1" ht="12">
      <c r="A273" s="109"/>
      <c r="B273" s="58"/>
      <c r="C273" s="110"/>
      <c r="D273" s="227"/>
      <c r="E273" s="235"/>
      <c r="F273" s="111"/>
      <c r="G273" s="111"/>
      <c r="H273" s="111"/>
      <c r="I273" s="111"/>
      <c r="J273" s="111"/>
      <c r="K273" s="111"/>
      <c r="L273" s="111"/>
      <c r="M273" s="111"/>
      <c r="N273" s="111"/>
      <c r="O273" s="111"/>
      <c r="P273" s="111"/>
      <c r="Q273" s="111"/>
      <c r="R273" s="111"/>
      <c r="S273" s="111"/>
      <c r="T273" s="111"/>
      <c r="U273" s="111"/>
      <c r="V273" s="111"/>
      <c r="W273" s="111"/>
      <c r="X273" s="111"/>
      <c r="Y273" s="111"/>
      <c r="Z273" s="111"/>
      <c r="AC273" s="282"/>
      <c r="AD273" s="360">
        <f t="shared" si="91"/>
        <v>0</v>
      </c>
    </row>
    <row r="274" spans="1:60" s="94" customFormat="1" ht="12">
      <c r="A274" s="94" t="s">
        <v>363</v>
      </c>
      <c r="B274" s="58"/>
      <c r="D274" s="230"/>
      <c r="E274" s="241"/>
      <c r="H274" s="93"/>
      <c r="I274" s="93"/>
      <c r="J274" s="93"/>
      <c r="K274" s="93"/>
      <c r="L274" s="93"/>
      <c r="M274" s="93"/>
      <c r="N274" s="93"/>
      <c r="O274" s="93"/>
      <c r="P274" s="93"/>
      <c r="Q274" s="93"/>
      <c r="R274" s="93"/>
      <c r="S274" s="93"/>
      <c r="T274" s="93"/>
      <c r="U274" s="93"/>
      <c r="V274" s="93"/>
      <c r="W274" s="93"/>
      <c r="X274" s="93"/>
      <c r="Y274" s="93"/>
      <c r="AC274" s="293"/>
      <c r="AD274" s="384">
        <f t="shared" si="91"/>
        <v>0</v>
      </c>
    </row>
    <row r="275" spans="1:60" s="94" customFormat="1" ht="12">
      <c r="B275" s="58"/>
      <c r="D275" s="230"/>
      <c r="E275" s="241"/>
      <c r="H275" s="108"/>
      <c r="I275" s="108"/>
      <c r="J275" s="108"/>
      <c r="K275" s="108"/>
      <c r="L275" s="108"/>
      <c r="M275" s="108"/>
      <c r="N275" s="108"/>
      <c r="O275" s="108"/>
      <c r="P275" s="108"/>
      <c r="Q275" s="108"/>
      <c r="R275" s="108"/>
      <c r="S275" s="108"/>
      <c r="T275" s="108"/>
      <c r="U275" s="108"/>
      <c r="V275" s="108"/>
      <c r="W275" s="108"/>
      <c r="X275" s="108"/>
      <c r="Y275" s="108"/>
      <c r="AC275" s="293"/>
      <c r="AD275" s="384">
        <f t="shared" si="91"/>
        <v>0</v>
      </c>
    </row>
    <row r="276" spans="1:60" s="112" customFormat="1" ht="12">
      <c r="A276" s="92"/>
      <c r="B276" s="58"/>
      <c r="C276" s="311" t="s">
        <v>519</v>
      </c>
      <c r="D276" s="230"/>
      <c r="E276" s="310">
        <f>SUM(F276:AC276)</f>
        <v>7631568.8178268522</v>
      </c>
      <c r="F276" s="275">
        <f t="shared" ref="F276:AC276" si="99">F5+F6+F59+F71+F78+F98+F105+F132+F145+F153+F165+F172+F206+F219+F272+F222+F237+F242</f>
        <v>-1110000</v>
      </c>
      <c r="G276" s="275">
        <f t="shared" si="99"/>
        <v>-3630000</v>
      </c>
      <c r="H276" s="275">
        <f t="shared" si="99"/>
        <v>-4783093.0520833302</v>
      </c>
      <c r="I276" s="275">
        <f t="shared" si="99"/>
        <v>-6980264.578125</v>
      </c>
      <c r="J276" s="275">
        <f t="shared" si="99"/>
        <v>-764293.87223282747</v>
      </c>
      <c r="K276" s="275">
        <f t="shared" si="99"/>
        <v>1209026.455786522</v>
      </c>
      <c r="L276" s="275">
        <f t="shared" si="99"/>
        <v>1238507.2475059768</v>
      </c>
      <c r="M276" s="275">
        <f t="shared" si="99"/>
        <v>1269065.3442809682</v>
      </c>
      <c r="N276" s="275">
        <f t="shared" si="99"/>
        <v>1301536.5315678339</v>
      </c>
      <c r="O276" s="275">
        <f t="shared" si="99"/>
        <v>1302806.651788837</v>
      </c>
      <c r="P276" s="275">
        <f t="shared" si="99"/>
        <v>1305869.1399643566</v>
      </c>
      <c r="Q276" s="275">
        <f t="shared" si="99"/>
        <v>1308958.7865166704</v>
      </c>
      <c r="R276" s="275">
        <f t="shared" si="99"/>
        <v>1312075.9198325323</v>
      </c>
      <c r="S276" s="275">
        <f t="shared" si="99"/>
        <v>1315220.8731847391</v>
      </c>
      <c r="T276" s="275">
        <f t="shared" si="99"/>
        <v>1318393.9848215636</v>
      </c>
      <c r="U276" s="275">
        <f t="shared" si="99"/>
        <v>1321595.5980581571</v>
      </c>
      <c r="V276" s="275">
        <f t="shared" si="99"/>
        <v>1324826.0613699737</v>
      </c>
      <c r="W276" s="275">
        <f t="shared" si="99"/>
        <v>1328085.7284882576</v>
      </c>
      <c r="X276" s="275">
        <f t="shared" si="99"/>
        <v>1331374.9584976663</v>
      </c>
      <c r="Y276" s="275">
        <f t="shared" si="99"/>
        <v>1334694.1159360621</v>
      </c>
      <c r="Z276" s="275">
        <f t="shared" si="99"/>
        <v>1338497.7467232365</v>
      </c>
      <c r="AA276" s="275">
        <f t="shared" si="99"/>
        <v>1342338.1570069457</v>
      </c>
      <c r="AB276" s="275">
        <f t="shared" si="99"/>
        <v>1346215.8165946463</v>
      </c>
      <c r="AC276" s="288">
        <f t="shared" si="99"/>
        <v>1350131.202343062</v>
      </c>
      <c r="AD276" s="369">
        <f t="shared" si="91"/>
        <v>7631568.8178268522</v>
      </c>
      <c r="AE276" s="112">
        <v>2036</v>
      </c>
      <c r="AF276" s="112">
        <f>AE276+1</f>
        <v>2037</v>
      </c>
      <c r="AG276" s="112">
        <f t="shared" ref="AG276:AX276" si="100">AF276+1</f>
        <v>2038</v>
      </c>
      <c r="AH276" s="112">
        <f t="shared" si="100"/>
        <v>2039</v>
      </c>
      <c r="AI276" s="112">
        <f t="shared" si="100"/>
        <v>2040</v>
      </c>
      <c r="AJ276" s="112">
        <f t="shared" si="100"/>
        <v>2041</v>
      </c>
      <c r="AK276" s="112">
        <f t="shared" si="100"/>
        <v>2042</v>
      </c>
      <c r="AL276" s="112">
        <f t="shared" si="100"/>
        <v>2043</v>
      </c>
      <c r="AM276" s="112">
        <f t="shared" si="100"/>
        <v>2044</v>
      </c>
      <c r="AN276" s="112">
        <f t="shared" si="100"/>
        <v>2045</v>
      </c>
      <c r="AO276" s="112">
        <f t="shared" si="100"/>
        <v>2046</v>
      </c>
      <c r="AP276" s="112">
        <f t="shared" si="100"/>
        <v>2047</v>
      </c>
      <c r="AQ276" s="112">
        <f t="shared" si="100"/>
        <v>2048</v>
      </c>
      <c r="AR276" s="112">
        <f t="shared" si="100"/>
        <v>2049</v>
      </c>
      <c r="AS276" s="112">
        <f t="shared" si="100"/>
        <v>2050</v>
      </c>
      <c r="AT276" s="112">
        <f t="shared" si="100"/>
        <v>2051</v>
      </c>
      <c r="AU276" s="112">
        <f t="shared" si="100"/>
        <v>2052</v>
      </c>
      <c r="AV276" s="112">
        <f t="shared" si="100"/>
        <v>2053</v>
      </c>
      <c r="AW276" s="112">
        <f t="shared" si="100"/>
        <v>2054</v>
      </c>
      <c r="AX276" s="112">
        <f t="shared" si="100"/>
        <v>2055</v>
      </c>
      <c r="AY276" s="112">
        <f t="shared" ref="AY276" si="101">AX276+1</f>
        <v>2056</v>
      </c>
      <c r="AZ276" s="112">
        <f t="shared" ref="AZ276" si="102">AY276+1</f>
        <v>2057</v>
      </c>
      <c r="BA276" s="112">
        <f t="shared" ref="BA276" si="103">AZ276+1</f>
        <v>2058</v>
      </c>
      <c r="BB276" s="112">
        <f t="shared" ref="BB276" si="104">BA276+1</f>
        <v>2059</v>
      </c>
      <c r="BC276" s="112">
        <f t="shared" ref="BC276" si="105">BB276+1</f>
        <v>2060</v>
      </c>
      <c r="BD276" s="112">
        <f t="shared" ref="BD276" si="106">BC276+1</f>
        <v>2061</v>
      </c>
      <c r="BE276" s="112">
        <f t="shared" ref="BE276" si="107">BD276+1</f>
        <v>2062</v>
      </c>
      <c r="BF276" s="112">
        <f t="shared" ref="BF276" si="108">BE276+1</f>
        <v>2063</v>
      </c>
      <c r="BG276" s="112">
        <f t="shared" ref="BG276:BH276" si="109">BF276+1</f>
        <v>2064</v>
      </c>
      <c r="BH276" s="112">
        <f t="shared" si="109"/>
        <v>2065</v>
      </c>
    </row>
    <row r="277" spans="1:60" s="94" customFormat="1" ht="12">
      <c r="A277" s="92"/>
      <c r="B277" s="58"/>
      <c r="C277" s="70" t="s">
        <v>182</v>
      </c>
      <c r="D277" s="230"/>
      <c r="E277" s="237"/>
      <c r="F277" s="108">
        <f>1/1.03</f>
        <v>0.970873786407767</v>
      </c>
      <c r="G277" s="108">
        <f>F277/1.03</f>
        <v>0.94259590913375435</v>
      </c>
      <c r="H277" s="108">
        <f t="shared" ref="H277:AC277" si="110">G277/1.03</f>
        <v>0.9151416593531595</v>
      </c>
      <c r="I277" s="108">
        <f t="shared" si="110"/>
        <v>0.88848704791568878</v>
      </c>
      <c r="J277" s="108">
        <f t="shared" si="110"/>
        <v>0.86260878438416388</v>
      </c>
      <c r="K277" s="108">
        <f t="shared" si="110"/>
        <v>0.83748425668365423</v>
      </c>
      <c r="L277" s="108">
        <f t="shared" si="110"/>
        <v>0.81309151134335356</v>
      </c>
      <c r="M277" s="108">
        <f t="shared" si="110"/>
        <v>0.7894092343139355</v>
      </c>
      <c r="N277" s="108">
        <f t="shared" si="110"/>
        <v>0.76641673234362673</v>
      </c>
      <c r="O277" s="108">
        <f t="shared" si="110"/>
        <v>0.74409391489672494</v>
      </c>
      <c r="P277" s="108">
        <f t="shared" si="110"/>
        <v>0.7224212765987621</v>
      </c>
      <c r="Q277" s="108">
        <f t="shared" si="110"/>
        <v>0.70137988019297293</v>
      </c>
      <c r="R277" s="108">
        <f t="shared" si="110"/>
        <v>0.68095133999317758</v>
      </c>
      <c r="S277" s="108">
        <f t="shared" si="110"/>
        <v>0.66111780581861901</v>
      </c>
      <c r="T277" s="108">
        <f t="shared" si="110"/>
        <v>0.64186194739671742</v>
      </c>
      <c r="U277" s="108">
        <f t="shared" si="110"/>
        <v>0.62316693922011401</v>
      </c>
      <c r="V277" s="108">
        <f t="shared" si="110"/>
        <v>0.60501644584477088</v>
      </c>
      <c r="W277" s="108">
        <f t="shared" si="110"/>
        <v>0.58739460761628237</v>
      </c>
      <c r="X277" s="108">
        <f t="shared" si="110"/>
        <v>0.57028602681192464</v>
      </c>
      <c r="Y277" s="108">
        <f t="shared" si="110"/>
        <v>0.55367575418633463</v>
      </c>
      <c r="Z277" s="108">
        <f t="shared" si="110"/>
        <v>0.53754927590906276</v>
      </c>
      <c r="AA277" s="108">
        <f t="shared" si="110"/>
        <v>0.52189250088258521</v>
      </c>
      <c r="AB277" s="108">
        <f t="shared" si="110"/>
        <v>0.50669174842969433</v>
      </c>
      <c r="AC277" s="294">
        <f t="shared" si="110"/>
        <v>0.49193373633950904</v>
      </c>
      <c r="AD277" s="385"/>
      <c r="AE277" s="94">
        <f>AC277/1.03</f>
        <v>0.47760556926165926</v>
      </c>
      <c r="AF277" s="94">
        <f>AE277/1.03</f>
        <v>0.4636947274385041</v>
      </c>
      <c r="AG277" s="94">
        <f t="shared" ref="AG277:AX277" si="111">AF277/1.03</f>
        <v>0.45018905576553797</v>
      </c>
      <c r="AH277" s="94">
        <f t="shared" si="111"/>
        <v>0.43707675317042521</v>
      </c>
      <c r="AI277" s="94">
        <f t="shared" si="111"/>
        <v>0.42434636230138367</v>
      </c>
      <c r="AJ277" s="94">
        <f t="shared" si="111"/>
        <v>0.41198675951590646</v>
      </c>
      <c r="AK277" s="94">
        <f t="shared" si="111"/>
        <v>0.39998714516107425</v>
      </c>
      <c r="AL277" s="94">
        <f t="shared" si="111"/>
        <v>0.3883370341369653</v>
      </c>
      <c r="AM277" s="94">
        <f t="shared" si="111"/>
        <v>0.37702624673491775</v>
      </c>
      <c r="AN277" s="94">
        <f t="shared" si="111"/>
        <v>0.3660448997426386</v>
      </c>
      <c r="AO277" s="94">
        <f t="shared" si="111"/>
        <v>0.35538339780838696</v>
      </c>
      <c r="AP277" s="94">
        <f t="shared" si="111"/>
        <v>0.34503242505668635</v>
      </c>
      <c r="AQ277" s="94">
        <f t="shared" si="111"/>
        <v>0.33498293694823916</v>
      </c>
      <c r="AR277" s="94">
        <f t="shared" si="111"/>
        <v>0.3252261523769312</v>
      </c>
      <c r="AS277" s="94">
        <f t="shared" si="111"/>
        <v>0.31575354599702055</v>
      </c>
      <c r="AT277" s="94">
        <f t="shared" si="111"/>
        <v>0.30655684077380635</v>
      </c>
      <c r="AU277" s="94">
        <f t="shared" si="111"/>
        <v>0.29762800075126827</v>
      </c>
      <c r="AV277" s="94">
        <f t="shared" si="111"/>
        <v>0.28895922403035756</v>
      </c>
      <c r="AW277" s="94">
        <f t="shared" si="111"/>
        <v>0.28054293595180346</v>
      </c>
      <c r="AX277" s="94">
        <f t="shared" si="111"/>
        <v>0.27237178247747906</v>
      </c>
      <c r="AY277" s="94">
        <f t="shared" ref="AY277" si="112">AX277/1.03</f>
        <v>0.26443862376454275</v>
      </c>
      <c r="AZ277" s="94">
        <f t="shared" ref="AZ277" si="113">AY277/1.03</f>
        <v>0.25673652792674051</v>
      </c>
      <c r="BA277" s="94">
        <f t="shared" ref="BA277" si="114">AZ277/1.03</f>
        <v>0.24925876497741797</v>
      </c>
      <c r="BB277" s="94">
        <f t="shared" ref="BB277" si="115">BA277/1.03</f>
        <v>0.24199880094894949</v>
      </c>
      <c r="BC277" s="94">
        <f t="shared" ref="BC277" si="116">BB277/1.03</f>
        <v>0.2349502921834461</v>
      </c>
      <c r="BD277" s="94">
        <f t="shared" ref="BD277" si="117">BC277/1.03</f>
        <v>0.22810707978975348</v>
      </c>
      <c r="BE277" s="94">
        <f t="shared" ref="BE277" si="118">BD277/1.03</f>
        <v>0.22146318426189657</v>
      </c>
      <c r="BF277" s="94">
        <f t="shared" ref="BF277" si="119">BE277/1.03</f>
        <v>0.2150128002542685</v>
      </c>
      <c r="BG277" s="94">
        <f t="shared" ref="BG277:BH277" si="120">BF277/1.03</f>
        <v>0.20875029150899854</v>
      </c>
      <c r="BH277" s="94">
        <f t="shared" si="120"/>
        <v>0.20267018593106653</v>
      </c>
    </row>
    <row r="278" spans="1:60" s="112" customFormat="1" ht="12">
      <c r="A278" s="109"/>
      <c r="B278" s="58"/>
      <c r="C278" s="110" t="s">
        <v>180</v>
      </c>
      <c r="D278" s="227"/>
      <c r="E278" s="235">
        <f>SUM(F278:AC278)</f>
        <v>391143.00712122396</v>
      </c>
      <c r="F278" s="111">
        <f>F276*F277</f>
        <v>-1077669.9029126214</v>
      </c>
      <c r="G278" s="111">
        <f t="shared" ref="G278:AC278" si="121">G276*G277</f>
        <v>-3421623.1501555284</v>
      </c>
      <c r="H278" s="111">
        <f t="shared" si="121"/>
        <v>-4377207.7125241067</v>
      </c>
      <c r="I278" s="111">
        <f t="shared" si="121"/>
        <v>-6201874.6686887322</v>
      </c>
      <c r="J278" s="111">
        <f t="shared" si="121"/>
        <v>-659286.60803902475</v>
      </c>
      <c r="K278" s="111">
        <f t="shared" si="121"/>
        <v>1012540.6226352483</v>
      </c>
      <c r="L278" s="111">
        <f t="shared" si="121"/>
        <v>1007019.7296843316</v>
      </c>
      <c r="M278" s="111">
        <f t="shared" si="121"/>
        <v>1001811.9017231901</v>
      </c>
      <c r="N278" s="111">
        <f t="shared" si="121"/>
        <v>997519.37555007683</v>
      </c>
      <c r="O278" s="111">
        <f t="shared" si="121"/>
        <v>969410.50188305008</v>
      </c>
      <c r="P278" s="111">
        <f t="shared" si="121"/>
        <v>943387.65116397804</v>
      </c>
      <c r="Q278" s="111">
        <f t="shared" si="121"/>
        <v>918077.35686460149</v>
      </c>
      <c r="R278" s="111">
        <f t="shared" si="121"/>
        <v>893459.85578274389</v>
      </c>
      <c r="S278" s="111">
        <f t="shared" si="121"/>
        <v>869515.93784674292</v>
      </c>
      <c r="T278" s="111">
        <f t="shared" si="121"/>
        <v>846226.93053368712</v>
      </c>
      <c r="U278" s="111">
        <f t="shared" si="121"/>
        <v>823574.6837286778</v>
      </c>
      <c r="V278" s="111">
        <f t="shared" si="121"/>
        <v>801541.55501258781</v>
      </c>
      <c r="W278" s="111">
        <f t="shared" si="121"/>
        <v>780110.3953661446</v>
      </c>
      <c r="X278" s="111">
        <f t="shared" si="121"/>
        <v>759264.5352785252</v>
      </c>
      <c r="Y278" s="111">
        <f t="shared" si="121"/>
        <v>738987.77124896226</v>
      </c>
      <c r="Z278" s="111">
        <f t="shared" si="121"/>
        <v>719508.49455698789</v>
      </c>
      <c r="AA278" s="111">
        <f t="shared" si="121"/>
        <v>700556.21779047523</v>
      </c>
      <c r="AB278" s="111">
        <f t="shared" si="121"/>
        <v>682116.44587405003</v>
      </c>
      <c r="AC278" s="416">
        <f t="shared" si="121"/>
        <v>664175.08691717626</v>
      </c>
      <c r="AD278" s="386">
        <f t="shared" si="91"/>
        <v>391143.00712122396</v>
      </c>
    </row>
    <row r="279" spans="1:60" s="112" customFormat="1" ht="12">
      <c r="A279" s="92"/>
      <c r="B279" s="58"/>
      <c r="C279" s="70" t="s">
        <v>183</v>
      </c>
      <c r="D279" s="230"/>
      <c r="E279" s="237"/>
      <c r="F279" s="108">
        <f>1/1.07</f>
        <v>0.93457943925233644</v>
      </c>
      <c r="G279" s="108">
        <f>F279/1.07</f>
        <v>0.87343872827321156</v>
      </c>
      <c r="H279" s="108">
        <f t="shared" ref="H279:AC279" si="122">G279/1.07</f>
        <v>0.81629787689085187</v>
      </c>
      <c r="I279" s="108">
        <f t="shared" si="122"/>
        <v>0.76289521204752508</v>
      </c>
      <c r="J279" s="108">
        <f t="shared" si="122"/>
        <v>0.71298617948366827</v>
      </c>
      <c r="K279" s="108">
        <f t="shared" si="122"/>
        <v>0.66634222381651231</v>
      </c>
      <c r="L279" s="108">
        <f t="shared" si="122"/>
        <v>0.62274974188459087</v>
      </c>
      <c r="M279" s="108">
        <f t="shared" si="122"/>
        <v>0.58200910456503818</v>
      </c>
      <c r="N279" s="108">
        <f t="shared" si="122"/>
        <v>0.54393374258414784</v>
      </c>
      <c r="O279" s="108">
        <f t="shared" si="122"/>
        <v>0.50834929213471758</v>
      </c>
      <c r="P279" s="108">
        <f t="shared" si="122"/>
        <v>0.4750927963875865</v>
      </c>
      <c r="Q279" s="108">
        <f t="shared" si="122"/>
        <v>0.444011959240735</v>
      </c>
      <c r="R279" s="108">
        <f t="shared" si="122"/>
        <v>0.41496444788853737</v>
      </c>
      <c r="S279" s="108">
        <f t="shared" si="122"/>
        <v>0.38781724101732462</v>
      </c>
      <c r="T279" s="108">
        <f t="shared" si="122"/>
        <v>0.36244601964235945</v>
      </c>
      <c r="U279" s="108">
        <f t="shared" si="122"/>
        <v>0.33873459779659759</v>
      </c>
      <c r="V279" s="108">
        <f t="shared" si="122"/>
        <v>0.3165743904641099</v>
      </c>
      <c r="W279" s="108">
        <f t="shared" si="122"/>
        <v>0.29586391632159803</v>
      </c>
      <c r="X279" s="108">
        <f t="shared" si="122"/>
        <v>0.27650833301083927</v>
      </c>
      <c r="Y279" s="108">
        <f t="shared" si="122"/>
        <v>0.25841900281386848</v>
      </c>
      <c r="Z279" s="108">
        <f t="shared" si="122"/>
        <v>0.24151308674193314</v>
      </c>
      <c r="AA279" s="108">
        <f t="shared" si="122"/>
        <v>0.22571316517937676</v>
      </c>
      <c r="AB279" s="108">
        <f t="shared" si="122"/>
        <v>0.21094688334521192</v>
      </c>
      <c r="AC279" s="294">
        <f t="shared" si="122"/>
        <v>0.19714661994879618</v>
      </c>
      <c r="AD279" s="385"/>
      <c r="AE279" s="112">
        <f>AC279/1.03</f>
        <v>0.19140448538718075</v>
      </c>
      <c r="AF279" s="112">
        <f>AE279/1.03</f>
        <v>0.18582959746328226</v>
      </c>
      <c r="AG279" s="112">
        <f t="shared" ref="AG279:AX279" si="123">AF279/1.03</f>
        <v>0.18041708491580802</v>
      </c>
      <c r="AH279" s="112">
        <f t="shared" si="123"/>
        <v>0.17516221836486215</v>
      </c>
      <c r="AI279" s="112">
        <f t="shared" si="123"/>
        <v>0.17006040617947782</v>
      </c>
      <c r="AJ279" s="112">
        <f t="shared" si="123"/>
        <v>0.16510719046551245</v>
      </c>
      <c r="AK279" s="112">
        <f t="shared" si="123"/>
        <v>0.16029824317040042</v>
      </c>
      <c r="AL279" s="112">
        <f t="shared" si="123"/>
        <v>0.15562936230135963</v>
      </c>
      <c r="AM279" s="112">
        <f t="shared" si="123"/>
        <v>0.1510964682537472</v>
      </c>
      <c r="AN279" s="112">
        <f t="shared" si="123"/>
        <v>0.1466956002463565</v>
      </c>
      <c r="AO279" s="112">
        <f t="shared" si="123"/>
        <v>0.14242291286054029</v>
      </c>
      <c r="AP279" s="112">
        <f t="shared" si="123"/>
        <v>0.13827467268013621</v>
      </c>
      <c r="AQ279" s="112">
        <f t="shared" si="123"/>
        <v>0.13424725502925847</v>
      </c>
      <c r="AR279" s="112">
        <f t="shared" si="123"/>
        <v>0.13033714080510531</v>
      </c>
      <c r="AS279" s="112">
        <f t="shared" si="123"/>
        <v>0.12654091340301485</v>
      </c>
      <c r="AT279" s="112">
        <f t="shared" si="123"/>
        <v>0.12285525573108237</v>
      </c>
      <c r="AU279" s="112">
        <f t="shared" si="123"/>
        <v>0.11927694731173046</v>
      </c>
      <c r="AV279" s="112">
        <f t="shared" si="123"/>
        <v>0.11580286146769947</v>
      </c>
      <c r="AW279" s="112">
        <f t="shared" si="123"/>
        <v>0.11242996258999949</v>
      </c>
      <c r="AX279" s="112">
        <f t="shared" si="123"/>
        <v>0.10915530348543639</v>
      </c>
      <c r="AY279" s="112">
        <f t="shared" ref="AY279" si="124">AX279/1.03</f>
        <v>0.10597602280139455</v>
      </c>
      <c r="AZ279" s="112">
        <f t="shared" ref="AZ279" si="125">AY279/1.03</f>
        <v>0.10288934252562577</v>
      </c>
      <c r="BA279" s="112">
        <f t="shared" ref="BA279" si="126">AZ279/1.03</f>
        <v>9.9892565558859975E-2</v>
      </c>
      <c r="BB279" s="112">
        <f t="shared" ref="BB279" si="127">BA279/1.03</f>
        <v>9.6983073358116484E-2</v>
      </c>
      <c r="BC279" s="112">
        <f t="shared" ref="BC279" si="128">BB279/1.03</f>
        <v>9.4158323648656783E-2</v>
      </c>
      <c r="BD279" s="112">
        <f t="shared" ref="BD279" si="129">BC279/1.03</f>
        <v>9.1415848202579406E-2</v>
      </c>
      <c r="BE279" s="112">
        <f t="shared" ref="BE279" si="130">BD279/1.03</f>
        <v>8.8753250682115925E-2</v>
      </c>
      <c r="BF279" s="112">
        <f t="shared" ref="BF279" si="131">BE279/1.03</f>
        <v>8.6168204545743615E-2</v>
      </c>
      <c r="BG279" s="112">
        <f t="shared" ref="BG279:BH279" si="132">BF279/1.03</f>
        <v>8.365845101528506E-2</v>
      </c>
      <c r="BH279" s="112">
        <f t="shared" si="132"/>
        <v>8.1221797102218496E-2</v>
      </c>
    </row>
    <row r="280" spans="1:60" s="112" customFormat="1" ht="12">
      <c r="A280" s="109"/>
      <c r="B280" s="58"/>
      <c r="C280" s="110" t="s">
        <v>181</v>
      </c>
      <c r="D280" s="227"/>
      <c r="E280" s="235">
        <f>SUM(F280:AC280)</f>
        <v>-4413355.7882228857</v>
      </c>
      <c r="F280" s="111">
        <f>F276*F279</f>
        <v>-1037383.1775700934</v>
      </c>
      <c r="G280" s="111">
        <f t="shared" ref="G280:AC280" si="133">G276*G279</f>
        <v>-3170582.5836317581</v>
      </c>
      <c r="H280" s="111">
        <f t="shared" si="133"/>
        <v>-3904428.7033870071</v>
      </c>
      <c r="I280" s="111">
        <f t="shared" si="133"/>
        <v>-5325210.4254764998</v>
      </c>
      <c r="J280" s="111">
        <f t="shared" si="133"/>
        <v>-544930.9679660626</v>
      </c>
      <c r="K280" s="111">
        <f t="shared" si="133"/>
        <v>805625.37720178731</v>
      </c>
      <c r="L280" s="111">
        <f t="shared" si="133"/>
        <v>771280.06870654214</v>
      </c>
      <c r="M280" s="111">
        <f t="shared" si="133"/>
        <v>738607.58465948817</v>
      </c>
      <c r="N280" s="111">
        <f t="shared" si="133"/>
        <v>707949.63672568277</v>
      </c>
      <c r="O280" s="111">
        <f t="shared" si="133"/>
        <v>662280.83922525682</v>
      </c>
      <c r="P280" s="111">
        <f t="shared" si="133"/>
        <v>620409.02142191876</v>
      </c>
      <c r="Q280" s="111">
        <f t="shared" si="133"/>
        <v>581193.35536664177</v>
      </c>
      <c r="R280" s="111">
        <f t="shared" si="133"/>
        <v>544464.85966115154</v>
      </c>
      <c r="S280" s="111">
        <f t="shared" si="133"/>
        <v>510065.33036690211</v>
      </c>
      <c r="T280" s="111">
        <f t="shared" si="133"/>
        <v>477846.65211900498</v>
      </c>
      <c r="U280" s="111">
        <f t="shared" si="133"/>
        <v>447670.15335798368</v>
      </c>
      <c r="V280" s="111">
        <f t="shared" si="133"/>
        <v>419406.00284916686</v>
      </c>
      <c r="W280" s="111">
        <f t="shared" si="133"/>
        <v>392932.64484135841</v>
      </c>
      <c r="X280" s="111">
        <f t="shared" si="133"/>
        <v>368136.27038656501</v>
      </c>
      <c r="Y280" s="111">
        <f t="shared" si="133"/>
        <v>344910.32250173495</v>
      </c>
      <c r="Z280" s="111">
        <f t="shared" si="133"/>
        <v>323264.72240825108</v>
      </c>
      <c r="AA280" s="111">
        <f t="shared" si="133"/>
        <v>302983.3941590889</v>
      </c>
      <c r="AB280" s="111">
        <f t="shared" si="133"/>
        <v>283980.03082067007</v>
      </c>
      <c r="AC280" s="416">
        <f t="shared" si="133"/>
        <v>266173.80302933889</v>
      </c>
      <c r="AD280" s="386">
        <f t="shared" si="91"/>
        <v>-4413355.7882228857</v>
      </c>
    </row>
    <row r="281" spans="1:60" s="53" customFormat="1" ht="12">
      <c r="A281" s="109"/>
      <c r="B281" s="58"/>
      <c r="C281" s="110"/>
      <c r="D281" s="227"/>
      <c r="E281" s="235"/>
      <c r="F281" s="111"/>
      <c r="G281" s="111"/>
      <c r="AC281" s="283"/>
      <c r="AD281" s="361">
        <f t="shared" si="91"/>
        <v>0</v>
      </c>
    </row>
    <row r="282" spans="1:60" s="53" customFormat="1" ht="12">
      <c r="A282" s="45"/>
      <c r="B282" s="58"/>
      <c r="C282" s="302" t="s">
        <v>187</v>
      </c>
      <c r="D282" s="232"/>
      <c r="E282" s="323">
        <f>IRR(F276:AC276)</f>
        <v>3.2280909957752082E-2</v>
      </c>
      <c r="F282" s="45"/>
      <c r="G282" s="57"/>
      <c r="AC282" s="283"/>
      <c r="AD282" s="361"/>
    </row>
    <row r="283" spans="1:60" s="115" customFormat="1" ht="12">
      <c r="A283" s="113"/>
      <c r="B283" s="58"/>
      <c r="C283" s="117"/>
      <c r="D283" s="119"/>
      <c r="E283" s="113"/>
      <c r="F283" s="114"/>
      <c r="G283" s="114"/>
      <c r="H283" s="114"/>
      <c r="I283" s="114"/>
      <c r="J283" s="114"/>
      <c r="K283" s="114"/>
      <c r="L283" s="114"/>
      <c r="M283" s="114"/>
      <c r="N283" s="114"/>
      <c r="O283" s="114"/>
      <c r="P283" s="114"/>
      <c r="Q283" s="114"/>
      <c r="R283" s="114"/>
      <c r="S283" s="114"/>
      <c r="T283" s="114"/>
      <c r="U283" s="114"/>
      <c r="V283" s="114"/>
      <c r="W283" s="114"/>
      <c r="X283" s="114"/>
      <c r="Y283" s="114"/>
      <c r="AC283" s="295"/>
      <c r="AD283" s="387"/>
    </row>
    <row r="284" spans="1:60" s="115" customFormat="1" ht="12">
      <c r="A284" s="113"/>
      <c r="B284" s="58"/>
      <c r="C284" s="120"/>
      <c r="D284" s="119"/>
      <c r="E284" s="113"/>
      <c r="F284" s="113"/>
      <c r="G284" s="116"/>
      <c r="AC284" s="295"/>
      <c r="AD284" s="387"/>
    </row>
    <row r="285" spans="1:60" s="115" customFormat="1" ht="12">
      <c r="A285" s="113"/>
      <c r="B285" s="113"/>
      <c r="C285" s="117"/>
      <c r="D285" s="121"/>
      <c r="E285" s="122"/>
      <c r="F285" s="122"/>
      <c r="G285" s="118"/>
      <c r="H285" s="118"/>
      <c r="I285" s="118"/>
      <c r="J285" s="118"/>
      <c r="K285" s="118"/>
      <c r="L285" s="118"/>
      <c r="M285" s="118"/>
      <c r="N285" s="118"/>
      <c r="O285" s="118"/>
      <c r="P285" s="118"/>
      <c r="Q285" s="118"/>
      <c r="R285" s="118"/>
      <c r="S285" s="118"/>
      <c r="T285" s="118"/>
      <c r="U285" s="118"/>
      <c r="V285" s="118"/>
      <c r="W285" s="118"/>
      <c r="X285" s="118"/>
      <c r="Y285" s="118"/>
      <c r="AC285" s="295"/>
      <c r="AD285" s="387"/>
    </row>
    <row r="286" spans="1:60" s="115" customFormat="1" ht="12">
      <c r="A286" s="113"/>
      <c r="B286" s="113"/>
      <c r="D286" s="123"/>
      <c r="E286" s="122"/>
      <c r="F286" s="122"/>
      <c r="G286" s="118"/>
      <c r="H286" s="118"/>
      <c r="I286" s="118"/>
      <c r="J286" s="118"/>
      <c r="K286" s="118"/>
      <c r="L286" s="118"/>
      <c r="M286" s="118"/>
      <c r="N286" s="118"/>
      <c r="O286" s="118"/>
      <c r="P286" s="118"/>
      <c r="Q286" s="118"/>
      <c r="R286" s="118"/>
      <c r="S286" s="118"/>
      <c r="T286" s="118"/>
      <c r="U286" s="118"/>
      <c r="V286" s="118"/>
      <c r="W286" s="118"/>
      <c r="X286" s="118"/>
      <c r="Y286" s="118"/>
      <c r="AC286" s="295"/>
      <c r="AD286" s="387"/>
    </row>
    <row r="287" spans="1:60" s="115" customFormat="1" ht="12">
      <c r="A287" s="113"/>
      <c r="B287" s="113"/>
      <c r="D287" s="123"/>
      <c r="E287" s="122"/>
      <c r="F287" s="122"/>
      <c r="G287" s="118"/>
      <c r="H287" s="118"/>
      <c r="I287" s="118"/>
      <c r="J287" s="118"/>
      <c r="K287" s="118"/>
      <c r="L287" s="118"/>
      <c r="M287" s="118"/>
      <c r="N287" s="118"/>
      <c r="O287" s="118"/>
      <c r="P287" s="118"/>
      <c r="Q287" s="118"/>
      <c r="R287" s="118"/>
      <c r="S287" s="118"/>
      <c r="T287" s="118"/>
      <c r="U287" s="118"/>
      <c r="V287" s="118"/>
      <c r="W287" s="118"/>
      <c r="X287" s="118"/>
      <c r="Y287" s="118"/>
      <c r="AC287" s="295"/>
      <c r="AD287" s="387"/>
    </row>
    <row r="288" spans="1:60" s="115" customFormat="1" ht="12">
      <c r="A288" s="113"/>
      <c r="B288" s="113"/>
      <c r="C288" s="311" t="s">
        <v>82</v>
      </c>
      <c r="D288" s="124"/>
      <c r="E288" s="113"/>
      <c r="F288" s="347">
        <f t="shared" ref="F288:AC288" si="134">F5+F6+F71+F98+F132+F165+F217+F254+F256+F260+F262</f>
        <v>-1110000</v>
      </c>
      <c r="G288" s="347">
        <f t="shared" si="134"/>
        <v>-3630000</v>
      </c>
      <c r="H288" s="347">
        <f t="shared" si="134"/>
        <v>-4783093.0520833302</v>
      </c>
      <c r="I288" s="347">
        <f t="shared" si="134"/>
        <v>-6980264.578125</v>
      </c>
      <c r="J288" s="347">
        <f t="shared" si="134"/>
        <v>-2119585.9016346936</v>
      </c>
      <c r="K288" s="347">
        <f t="shared" si="134"/>
        <v>-545825.20962042455</v>
      </c>
      <c r="L288" s="347">
        <f t="shared" si="134"/>
        <v>-553400.72694280965</v>
      </c>
      <c r="M288" s="347">
        <f t="shared" si="134"/>
        <v>-561158.0235960572</v>
      </c>
      <c r="N288" s="347">
        <f t="shared" si="134"/>
        <v>-569102.51598736155</v>
      </c>
      <c r="O288" s="347">
        <f t="shared" si="134"/>
        <v>-572324.97920632642</v>
      </c>
      <c r="P288" s="347">
        <f t="shared" si="134"/>
        <v>-575578.40629708336</v>
      </c>
      <c r="Q288" s="347">
        <f t="shared" si="134"/>
        <v>-578863.09130505752</v>
      </c>
      <c r="R288" s="347">
        <f t="shared" si="134"/>
        <v>-582179.33084708103</v>
      </c>
      <c r="S288" s="347">
        <f t="shared" si="134"/>
        <v>-585527.4241283728</v>
      </c>
      <c r="T288" s="347">
        <f t="shared" si="134"/>
        <v>-588907.67295946623</v>
      </c>
      <c r="U288" s="347">
        <f t="shared" si="134"/>
        <v>-592320.38177307602</v>
      </c>
      <c r="V288" s="347">
        <f t="shared" si="134"/>
        <v>-595765.85764089844</v>
      </c>
      <c r="W288" s="347">
        <f t="shared" si="134"/>
        <v>-599244.41029033635</v>
      </c>
      <c r="X288" s="347">
        <f t="shared" si="134"/>
        <v>-602756.35212114372</v>
      </c>
      <c r="Y288" s="347">
        <f t="shared" si="134"/>
        <v>-606301.99822197692</v>
      </c>
      <c r="Z288" s="347">
        <f t="shared" si="134"/>
        <v>-609881.66638685111</v>
      </c>
      <c r="AA288" s="347">
        <f t="shared" si="134"/>
        <v>-613495.67713148682</v>
      </c>
      <c r="AB288" s="347">
        <f t="shared" si="134"/>
        <v>-617144.35370954266</v>
      </c>
      <c r="AC288" s="347">
        <f t="shared" si="134"/>
        <v>-620828.02212872216</v>
      </c>
      <c r="AD288" s="388">
        <f>SUM(F288:AC288)</f>
        <v>-29793549.632137105</v>
      </c>
    </row>
    <row r="289" spans="1:63" s="115" customFormat="1" ht="12">
      <c r="A289" s="113"/>
      <c r="B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387"/>
    </row>
    <row r="290" spans="1:63" s="115" customFormat="1" ht="12">
      <c r="A290" s="113"/>
      <c r="B290" s="113"/>
      <c r="C290" s="311" t="s">
        <v>87</v>
      </c>
      <c r="D290" s="113"/>
      <c r="E290" s="113"/>
      <c r="F290" s="348">
        <f t="shared" ref="F290:AC290" si="135">F59+F78+F105+F145+F153+F172+F206+F219-F217+F237+F242+F249+F251+F266+F268+F270+F222</f>
        <v>0</v>
      </c>
      <c r="G290" s="348">
        <f t="shared" si="135"/>
        <v>0</v>
      </c>
      <c r="H290" s="348">
        <f t="shared" si="135"/>
        <v>0</v>
      </c>
      <c r="I290" s="348">
        <f t="shared" si="135"/>
        <v>0</v>
      </c>
      <c r="J290" s="348">
        <f t="shared" si="135"/>
        <v>1355292.029401866</v>
      </c>
      <c r="K290" s="348">
        <f t="shared" si="135"/>
        <v>1754851.6654069466</v>
      </c>
      <c r="L290" s="348">
        <f t="shared" si="135"/>
        <v>1791907.9744487866</v>
      </c>
      <c r="M290" s="348">
        <f t="shared" si="135"/>
        <v>1830223.3678770252</v>
      </c>
      <c r="N290" s="348">
        <f t="shared" si="135"/>
        <v>1870639.0475551952</v>
      </c>
      <c r="O290" s="348">
        <f t="shared" si="135"/>
        <v>1875131.6309951635</v>
      </c>
      <c r="P290" s="348">
        <f t="shared" si="135"/>
        <v>1881447.5462614398</v>
      </c>
      <c r="Q290" s="348">
        <f t="shared" si="135"/>
        <v>1887821.8778217281</v>
      </c>
      <c r="R290" s="348">
        <f t="shared" si="135"/>
        <v>1894255.2506796131</v>
      </c>
      <c r="S290" s="348">
        <f t="shared" si="135"/>
        <v>1900748.2973131121</v>
      </c>
      <c r="T290" s="348">
        <f t="shared" si="135"/>
        <v>1907301.6577810296</v>
      </c>
      <c r="U290" s="348">
        <f t="shared" si="135"/>
        <v>1913915.9798312329</v>
      </c>
      <c r="V290" s="348">
        <f t="shared" si="135"/>
        <v>1920591.919010872</v>
      </c>
      <c r="W290" s="348">
        <f t="shared" si="135"/>
        <v>1927330.1387785941</v>
      </c>
      <c r="X290" s="348">
        <f t="shared" si="135"/>
        <v>1934131.3106188099</v>
      </c>
      <c r="Y290" s="348">
        <f t="shared" si="135"/>
        <v>1940996.1141580387</v>
      </c>
      <c r="Z290" s="348">
        <f t="shared" si="135"/>
        <v>1948379.4131100874</v>
      </c>
      <c r="AA290" s="348">
        <f t="shared" si="135"/>
        <v>1955833.8341384325</v>
      </c>
      <c r="AB290" s="348">
        <f t="shared" si="135"/>
        <v>1963360.170304189</v>
      </c>
      <c r="AC290" s="348">
        <f t="shared" si="135"/>
        <v>1970959.224471784</v>
      </c>
      <c r="AD290" s="389">
        <f>SUM(F290:AC290)</f>
        <v>37425118.44996395</v>
      </c>
    </row>
    <row r="291" spans="1:63" s="115" customFormat="1" ht="12">
      <c r="A291" s="113"/>
      <c r="B291" s="113"/>
      <c r="C291" s="117"/>
      <c r="D291" s="113"/>
      <c r="E291" s="301"/>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387"/>
    </row>
    <row r="292" spans="1:63" s="115" customFormat="1" ht="12">
      <c r="A292" s="113"/>
      <c r="B292" s="113"/>
      <c r="C292" s="117"/>
      <c r="D292" s="113"/>
      <c r="E292" s="301" t="s">
        <v>567</v>
      </c>
      <c r="F292" s="351">
        <f>F288+F290</f>
        <v>-1110000</v>
      </c>
      <c r="G292" s="351">
        <f t="shared" ref="G292:AC292" si="136">G288+G290</f>
        <v>-3630000</v>
      </c>
      <c r="H292" s="351">
        <f t="shared" si="136"/>
        <v>-4783093.0520833302</v>
      </c>
      <c r="I292" s="351">
        <f t="shared" si="136"/>
        <v>-6980264.578125</v>
      </c>
      <c r="J292" s="351">
        <f t="shared" si="136"/>
        <v>-764293.87223282759</v>
      </c>
      <c r="K292" s="351">
        <f t="shared" si="136"/>
        <v>1209026.455786522</v>
      </c>
      <c r="L292" s="351">
        <f t="shared" si="136"/>
        <v>1238507.2475059768</v>
      </c>
      <c r="M292" s="351">
        <f t="shared" si="136"/>
        <v>1269065.344280968</v>
      </c>
      <c r="N292" s="351">
        <f t="shared" si="136"/>
        <v>1301536.5315678336</v>
      </c>
      <c r="O292" s="351">
        <f t="shared" si="136"/>
        <v>1302806.651788837</v>
      </c>
      <c r="P292" s="351">
        <f t="shared" si="136"/>
        <v>1305869.1399643566</v>
      </c>
      <c r="Q292" s="351">
        <f t="shared" si="136"/>
        <v>1308958.7865166706</v>
      </c>
      <c r="R292" s="351">
        <f t="shared" si="136"/>
        <v>1312075.9198325321</v>
      </c>
      <c r="S292" s="351">
        <f t="shared" si="136"/>
        <v>1315220.8731847391</v>
      </c>
      <c r="T292" s="351">
        <f t="shared" si="136"/>
        <v>1318393.9848215634</v>
      </c>
      <c r="U292" s="351">
        <f t="shared" si="136"/>
        <v>1321595.5980581569</v>
      </c>
      <c r="V292" s="351">
        <f t="shared" si="136"/>
        <v>1324826.0613699737</v>
      </c>
      <c r="W292" s="351">
        <f t="shared" si="136"/>
        <v>1328085.7284882576</v>
      </c>
      <c r="X292" s="351">
        <f t="shared" si="136"/>
        <v>1331374.9584976663</v>
      </c>
      <c r="Y292" s="351">
        <f t="shared" si="136"/>
        <v>1334694.1159360618</v>
      </c>
      <c r="Z292" s="351">
        <f t="shared" si="136"/>
        <v>1338497.7467232363</v>
      </c>
      <c r="AA292" s="351">
        <f t="shared" si="136"/>
        <v>1342338.1570069457</v>
      </c>
      <c r="AB292" s="351">
        <f t="shared" si="136"/>
        <v>1346215.8165946463</v>
      </c>
      <c r="AC292" s="351">
        <f t="shared" si="136"/>
        <v>1350131.2023430618</v>
      </c>
      <c r="AD292" s="388"/>
    </row>
    <row r="293" spans="1:63" s="53" customFormat="1" ht="12">
      <c r="A293" s="45"/>
      <c r="B293" s="45"/>
      <c r="C293" s="50"/>
      <c r="D293" s="68"/>
      <c r="E293" s="55" t="s">
        <v>567</v>
      </c>
      <c r="F293" s="352">
        <f>F292-F276</f>
        <v>0</v>
      </c>
      <c r="G293" s="352">
        <f t="shared" ref="G293:AC293" si="137">G292-G276</f>
        <v>0</v>
      </c>
      <c r="H293" s="352">
        <f t="shared" si="137"/>
        <v>0</v>
      </c>
      <c r="I293" s="352">
        <f t="shared" si="137"/>
        <v>0</v>
      </c>
      <c r="J293" s="352">
        <f t="shared" si="137"/>
        <v>0</v>
      </c>
      <c r="K293" s="352">
        <f t="shared" si="137"/>
        <v>0</v>
      </c>
      <c r="L293" s="352">
        <f t="shared" si="137"/>
        <v>0</v>
      </c>
      <c r="M293" s="352">
        <f t="shared" si="137"/>
        <v>0</v>
      </c>
      <c r="N293" s="352">
        <f t="shared" si="137"/>
        <v>0</v>
      </c>
      <c r="O293" s="352">
        <f t="shared" si="137"/>
        <v>0</v>
      </c>
      <c r="P293" s="352">
        <f t="shared" si="137"/>
        <v>0</v>
      </c>
      <c r="Q293" s="352">
        <f t="shared" si="137"/>
        <v>0</v>
      </c>
      <c r="R293" s="352">
        <f t="shared" si="137"/>
        <v>0</v>
      </c>
      <c r="S293" s="352">
        <f t="shared" si="137"/>
        <v>0</v>
      </c>
      <c r="T293" s="352">
        <f t="shared" si="137"/>
        <v>0</v>
      </c>
      <c r="U293" s="352">
        <f t="shared" si="137"/>
        <v>0</v>
      </c>
      <c r="V293" s="352">
        <f t="shared" si="137"/>
        <v>0</v>
      </c>
      <c r="W293" s="352">
        <f t="shared" si="137"/>
        <v>0</v>
      </c>
      <c r="X293" s="352">
        <f t="shared" si="137"/>
        <v>0</v>
      </c>
      <c r="Y293" s="352">
        <f t="shared" si="137"/>
        <v>0</v>
      </c>
      <c r="Z293" s="352">
        <f t="shared" si="137"/>
        <v>0</v>
      </c>
      <c r="AA293" s="352">
        <f t="shared" si="137"/>
        <v>0</v>
      </c>
      <c r="AB293" s="352">
        <f t="shared" si="137"/>
        <v>0</v>
      </c>
      <c r="AC293" s="352">
        <f t="shared" si="137"/>
        <v>0</v>
      </c>
      <c r="AD293" s="379"/>
    </row>
    <row r="294" spans="1:63" s="53" customFormat="1" ht="12">
      <c r="A294" s="45"/>
      <c r="B294" s="45"/>
      <c r="C294" s="50"/>
      <c r="D294" s="68"/>
      <c r="E294" s="45"/>
      <c r="F294" s="45"/>
      <c r="G294" s="60"/>
      <c r="AD294" s="361"/>
      <c r="AE294" s="112">
        <v>2036</v>
      </c>
      <c r="AF294" s="112">
        <f>AE294+1</f>
        <v>2037</v>
      </c>
      <c r="AG294" s="112">
        <f t="shared" ref="AG294" si="138">AF294+1</f>
        <v>2038</v>
      </c>
      <c r="AH294" s="112">
        <f t="shared" ref="AH294" si="139">AG294+1</f>
        <v>2039</v>
      </c>
      <c r="AI294" s="112">
        <f t="shared" ref="AI294" si="140">AH294+1</f>
        <v>2040</v>
      </c>
      <c r="AJ294" s="112">
        <f t="shared" ref="AJ294" si="141">AI294+1</f>
        <v>2041</v>
      </c>
      <c r="AK294" s="112">
        <f t="shared" ref="AK294" si="142">AJ294+1</f>
        <v>2042</v>
      </c>
      <c r="AL294" s="112">
        <f t="shared" ref="AL294" si="143">AK294+1</f>
        <v>2043</v>
      </c>
      <c r="AM294" s="112">
        <f t="shared" ref="AM294" si="144">AL294+1</f>
        <v>2044</v>
      </c>
      <c r="AN294" s="112">
        <f t="shared" ref="AN294" si="145">AM294+1</f>
        <v>2045</v>
      </c>
      <c r="AO294" s="112">
        <f t="shared" ref="AO294" si="146">AN294+1</f>
        <v>2046</v>
      </c>
      <c r="AP294" s="112">
        <f t="shared" ref="AP294" si="147">AO294+1</f>
        <v>2047</v>
      </c>
      <c r="AQ294" s="112">
        <f t="shared" ref="AQ294" si="148">AP294+1</f>
        <v>2048</v>
      </c>
      <c r="AR294" s="112">
        <f t="shared" ref="AR294" si="149">AQ294+1</f>
        <v>2049</v>
      </c>
      <c r="AS294" s="112">
        <f t="shared" ref="AS294" si="150">AR294+1</f>
        <v>2050</v>
      </c>
      <c r="AT294" s="112">
        <f t="shared" ref="AT294" si="151">AS294+1</f>
        <v>2051</v>
      </c>
      <c r="AU294" s="112">
        <f t="shared" ref="AU294" si="152">AT294+1</f>
        <v>2052</v>
      </c>
      <c r="AV294" s="112">
        <f t="shared" ref="AV294" si="153">AU294+1</f>
        <v>2053</v>
      </c>
      <c r="AW294" s="112">
        <f t="shared" ref="AW294" si="154">AV294+1</f>
        <v>2054</v>
      </c>
      <c r="AX294" s="112">
        <f t="shared" ref="AX294" si="155">AW294+1</f>
        <v>2055</v>
      </c>
      <c r="AY294" s="112">
        <f t="shared" ref="AY294" si="156">AX294+1</f>
        <v>2056</v>
      </c>
      <c r="AZ294" s="112">
        <f t="shared" ref="AZ294" si="157">AY294+1</f>
        <v>2057</v>
      </c>
      <c r="BA294" s="112">
        <f t="shared" ref="BA294" si="158">AZ294+1</f>
        <v>2058</v>
      </c>
      <c r="BB294" s="112">
        <f t="shared" ref="BB294" si="159">BA294+1</f>
        <v>2059</v>
      </c>
      <c r="BC294" s="112">
        <f t="shared" ref="BC294" si="160">BB294+1</f>
        <v>2060</v>
      </c>
      <c r="BD294" s="112">
        <f t="shared" ref="BD294" si="161">BC294+1</f>
        <v>2061</v>
      </c>
      <c r="BE294" s="112">
        <f t="shared" ref="BE294" si="162">BD294+1</f>
        <v>2062</v>
      </c>
      <c r="BF294" s="112">
        <f t="shared" ref="BF294" si="163">BE294+1</f>
        <v>2063</v>
      </c>
      <c r="BG294" s="112">
        <f t="shared" ref="BG294" si="164">BF294+1</f>
        <v>2064</v>
      </c>
      <c r="BH294" s="112">
        <f t="shared" ref="BH294" si="165">BG294+1</f>
        <v>2065</v>
      </c>
    </row>
    <row r="295" spans="1:63" s="53" customFormat="1" ht="12">
      <c r="A295" s="45"/>
      <c r="B295" s="45"/>
      <c r="C295" s="50"/>
      <c r="D295" s="68"/>
      <c r="E295" s="355" t="s">
        <v>568</v>
      </c>
      <c r="F295" s="352">
        <f>F6/1000000</f>
        <v>-1.1100000000000001</v>
      </c>
      <c r="G295" s="352">
        <f t="shared" ref="G295:J295" si="166">G6/1000000</f>
        <v>-3.63</v>
      </c>
      <c r="H295" s="352">
        <f t="shared" si="166"/>
        <v>-4.5433333333333303</v>
      </c>
      <c r="I295" s="352">
        <f t="shared" si="166"/>
        <v>-6.6206250000000004</v>
      </c>
      <c r="J295" s="352">
        <f t="shared" si="166"/>
        <v>-1.69604166666667</v>
      </c>
      <c r="K295" s="352">
        <f>K6/1000000</f>
        <v>0</v>
      </c>
      <c r="AD295" s="480">
        <f t="shared" ref="AD295:AD297" si="167">SUM(F295:AC295)</f>
        <v>-17.600000000000001</v>
      </c>
      <c r="AS295" s="482"/>
      <c r="AY295" s="350"/>
      <c r="BI295" s="355" t="s">
        <v>568</v>
      </c>
      <c r="BK295" s="308">
        <f>SUM(AE295:BH295)</f>
        <v>0</v>
      </c>
    </row>
    <row r="296" spans="1:63" s="53" customFormat="1" ht="12">
      <c r="A296" s="45"/>
      <c r="B296" s="45"/>
      <c r="C296" s="50"/>
      <c r="D296" s="45"/>
      <c r="E296" s="355" t="s">
        <v>569</v>
      </c>
      <c r="F296" s="352">
        <f>F288/1000000-F295</f>
        <v>0</v>
      </c>
      <c r="G296" s="352">
        <f t="shared" ref="G296:L296" si="168">G288/1000000-G295</f>
        <v>0</v>
      </c>
      <c r="H296" s="352">
        <f t="shared" si="168"/>
        <v>-0.23975971875000024</v>
      </c>
      <c r="I296" s="352">
        <f t="shared" si="168"/>
        <v>-0.35963957812499991</v>
      </c>
      <c r="J296" s="352">
        <f t="shared" si="168"/>
        <v>-0.4235442349680234</v>
      </c>
      <c r="K296" s="352">
        <f t="shared" si="168"/>
        <v>-0.54582520962042458</v>
      </c>
      <c r="L296" s="352">
        <f t="shared" si="168"/>
        <v>-0.55340072694280962</v>
      </c>
      <c r="M296" s="352">
        <f t="shared" ref="M296:AC296" si="169">M288/1000000</f>
        <v>-0.56115802359605715</v>
      </c>
      <c r="N296" s="352">
        <f t="shared" si="169"/>
        <v>-0.5691025159873615</v>
      </c>
      <c r="O296" s="352">
        <f t="shared" si="169"/>
        <v>-0.57232497920632641</v>
      </c>
      <c r="P296" s="352">
        <f t="shared" si="169"/>
        <v>-0.57557840629708334</v>
      </c>
      <c r="Q296" s="352">
        <f t="shared" si="169"/>
        <v>-0.57886309130505753</v>
      </c>
      <c r="R296" s="352">
        <f t="shared" si="169"/>
        <v>-0.58217933084708107</v>
      </c>
      <c r="S296" s="352">
        <f t="shared" si="169"/>
        <v>-0.58552742412837278</v>
      </c>
      <c r="T296" s="352">
        <f t="shared" si="169"/>
        <v>-0.58890767295946622</v>
      </c>
      <c r="U296" s="352">
        <f t="shared" si="169"/>
        <v>-0.592320381773076</v>
      </c>
      <c r="V296" s="352">
        <f t="shared" si="169"/>
        <v>-0.5957658576408984</v>
      </c>
      <c r="W296" s="352">
        <f t="shared" si="169"/>
        <v>-0.59924441029033637</v>
      </c>
      <c r="X296" s="352">
        <f t="shared" si="169"/>
        <v>-0.60275635212114376</v>
      </c>
      <c r="Y296" s="352">
        <f t="shared" si="169"/>
        <v>-0.60630199822197695</v>
      </c>
      <c r="Z296" s="352">
        <f t="shared" si="169"/>
        <v>-0.60988166638685115</v>
      </c>
      <c r="AA296" s="352">
        <f t="shared" si="169"/>
        <v>-0.61349567713148678</v>
      </c>
      <c r="AB296" s="352">
        <f t="shared" si="169"/>
        <v>-0.61714435370954268</v>
      </c>
      <c r="AC296" s="352">
        <f t="shared" si="169"/>
        <v>-0.62082802212872212</v>
      </c>
      <c r="AD296" s="480">
        <f t="shared" si="167"/>
        <v>-12.193549632137099</v>
      </c>
      <c r="AE296" s="379">
        <f>AVERAGE(X296:AC296)</f>
        <v>-0.6117346782832872</v>
      </c>
      <c r="AF296" s="379">
        <v>-0.60888424036084443</v>
      </c>
      <c r="AG296" s="379">
        <v>-0.60888424036084443</v>
      </c>
      <c r="AH296" s="379">
        <v>-0.60888424036084443</v>
      </c>
      <c r="AI296" s="379">
        <v>-0.60888424036084443</v>
      </c>
      <c r="AJ296" s="379">
        <v>-0.60888424036084443</v>
      </c>
      <c r="AK296" s="379">
        <v>-0.60888424036084443</v>
      </c>
      <c r="AL296" s="379">
        <v>-0.60888424036084443</v>
      </c>
      <c r="AM296" s="379">
        <v>-0.60888424036084443</v>
      </c>
      <c r="AN296" s="379">
        <v>-0.60888424036084443</v>
      </c>
      <c r="AO296" s="379">
        <v>-0.60888424036084443</v>
      </c>
      <c r="AP296" s="379">
        <v>-0.60888424036084443</v>
      </c>
      <c r="AQ296" s="379">
        <v>-0.60888424036084443</v>
      </c>
      <c r="AR296" s="379">
        <v>-0.60888424036084443</v>
      </c>
      <c r="AS296" s="479">
        <v>-1.6088842403608401</v>
      </c>
      <c r="AT296" s="379">
        <v>-0.60888424036084443</v>
      </c>
      <c r="AU296" s="379">
        <v>-0.60888424036084443</v>
      </c>
      <c r="AV296" s="379">
        <v>-0.60888424036084443</v>
      </c>
      <c r="AW296" s="379">
        <v>-0.60888424036084443</v>
      </c>
      <c r="AX296" s="379">
        <v>-0.60888424036084443</v>
      </c>
      <c r="AY296" s="379">
        <v>-0.60888424036084443</v>
      </c>
      <c r="AZ296" s="379">
        <v>-0.60888424036084443</v>
      </c>
      <c r="BA296" s="379">
        <v>-0.60888424036084443</v>
      </c>
      <c r="BB296" s="379">
        <v>-0.60888424036084443</v>
      </c>
      <c r="BC296" s="379">
        <v>-0.60888424036084443</v>
      </c>
      <c r="BD296" s="379">
        <v>-0.60888424036084443</v>
      </c>
      <c r="BE296" s="379">
        <v>-0.60888424036084443</v>
      </c>
      <c r="BF296" s="379">
        <v>-0.60888424036084443</v>
      </c>
      <c r="BG296" s="379">
        <v>-0.60888424036084443</v>
      </c>
      <c r="BH296" s="379">
        <v>-0.60888424036084443</v>
      </c>
      <c r="BI296" s="355" t="s">
        <v>569</v>
      </c>
      <c r="BK296" s="308">
        <f>SUM(AE296:BH296)</f>
        <v>-19.269377648747767</v>
      </c>
    </row>
    <row r="297" spans="1:63" s="53" customFormat="1" ht="12">
      <c r="A297" s="64"/>
      <c r="B297" s="64"/>
      <c r="C297" s="51"/>
      <c r="D297" s="45"/>
      <c r="E297" s="353" t="str">
        <f>C290</f>
        <v>BENEFITS</v>
      </c>
      <c r="F297" s="354">
        <f>F290/1000000</f>
        <v>0</v>
      </c>
      <c r="G297" s="354">
        <f t="shared" ref="G297:AC297" si="170">G290/1000000</f>
        <v>0</v>
      </c>
      <c r="H297" s="354">
        <f t="shared" si="170"/>
        <v>0</v>
      </c>
      <c r="I297" s="354">
        <f t="shared" si="170"/>
        <v>0</v>
      </c>
      <c r="J297" s="354">
        <f t="shared" si="170"/>
        <v>1.355292029401866</v>
      </c>
      <c r="K297" s="354">
        <f t="shared" si="170"/>
        <v>1.7548516654069466</v>
      </c>
      <c r="L297" s="354">
        <f t="shared" si="170"/>
        <v>1.7919079744487867</v>
      </c>
      <c r="M297" s="354">
        <f t="shared" si="170"/>
        <v>1.8302233678770252</v>
      </c>
      <c r="N297" s="354">
        <f t="shared" si="170"/>
        <v>1.8706390475551953</v>
      </c>
      <c r="O297" s="354">
        <f t="shared" si="170"/>
        <v>1.8751316309951636</v>
      </c>
      <c r="P297" s="354">
        <f t="shared" si="170"/>
        <v>1.8814475462614397</v>
      </c>
      <c r="Q297" s="354">
        <f t="shared" si="170"/>
        <v>1.8878218778217282</v>
      </c>
      <c r="R297" s="354">
        <f t="shared" si="170"/>
        <v>1.8942552506796131</v>
      </c>
      <c r="S297" s="354">
        <f t="shared" si="170"/>
        <v>1.900748297313112</v>
      </c>
      <c r="T297" s="354">
        <f t="shared" si="170"/>
        <v>1.9073016577810296</v>
      </c>
      <c r="U297" s="354">
        <f t="shared" si="170"/>
        <v>1.9139159798312328</v>
      </c>
      <c r="V297" s="354">
        <f t="shared" si="170"/>
        <v>1.920591919010872</v>
      </c>
      <c r="W297" s="354">
        <f t="shared" si="170"/>
        <v>1.9273301387785942</v>
      </c>
      <c r="X297" s="354">
        <f t="shared" si="170"/>
        <v>1.9341313106188098</v>
      </c>
      <c r="Y297" s="354">
        <f t="shared" si="170"/>
        <v>1.9409961141580387</v>
      </c>
      <c r="Z297" s="354">
        <f t="shared" si="170"/>
        <v>1.9483794131100873</v>
      </c>
      <c r="AA297" s="354">
        <f t="shared" si="170"/>
        <v>1.9558338341384325</v>
      </c>
      <c r="AB297" s="354">
        <f t="shared" si="170"/>
        <v>1.963360170304189</v>
      </c>
      <c r="AC297" s="354">
        <f t="shared" si="170"/>
        <v>1.970959224471784</v>
      </c>
      <c r="AD297" s="480">
        <f t="shared" si="167"/>
        <v>37.425118449963946</v>
      </c>
      <c r="AE297" s="379">
        <f>AVERAGE(X297:AC297)</f>
        <v>1.9522766778002234</v>
      </c>
      <c r="AF297" s="379">
        <v>1.9420937057743568</v>
      </c>
      <c r="AG297" s="379">
        <v>1.9420937057743568</v>
      </c>
      <c r="AH297" s="379">
        <v>1.9420937057743568</v>
      </c>
      <c r="AI297" s="379">
        <v>1.9420937057743568</v>
      </c>
      <c r="AJ297" s="379">
        <v>1.9420937057743568</v>
      </c>
      <c r="AK297" s="379">
        <v>1.9420937057743568</v>
      </c>
      <c r="AL297" s="379">
        <v>1.9420937057743568</v>
      </c>
      <c r="AM297" s="379">
        <v>1.9420937057743568</v>
      </c>
      <c r="AN297" s="379">
        <v>1.9420937057743568</v>
      </c>
      <c r="AO297" s="379">
        <v>1.9420937057743568</v>
      </c>
      <c r="AP297" s="379">
        <v>1.9420937057743568</v>
      </c>
      <c r="AQ297" s="379">
        <v>1.9420937057743568</v>
      </c>
      <c r="AR297" s="379">
        <v>1.9420937057743568</v>
      </c>
      <c r="AS297" s="379">
        <v>1.9420937057743568</v>
      </c>
      <c r="AT297" s="379">
        <v>1.9420937057743568</v>
      </c>
      <c r="AU297" s="379">
        <v>1.9420937057743568</v>
      </c>
      <c r="AV297" s="379">
        <v>1.9420937057743568</v>
      </c>
      <c r="AW297" s="379">
        <v>1.9420937057743568</v>
      </c>
      <c r="AX297" s="379">
        <v>1.9420937057743568</v>
      </c>
      <c r="AY297" s="379">
        <v>1.9420937057743568</v>
      </c>
      <c r="AZ297" s="379">
        <v>1.9420937057743568</v>
      </c>
      <c r="BA297" s="308">
        <v>1.9420937057743568</v>
      </c>
      <c r="BB297" s="53">
        <v>1.9420937057743568</v>
      </c>
      <c r="BC297" s="53">
        <v>1.9420937057743568</v>
      </c>
      <c r="BD297" s="53">
        <v>1.9420937057743568</v>
      </c>
      <c r="BE297" s="53">
        <v>1.9420937057743568</v>
      </c>
      <c r="BF297" s="53">
        <v>1.9420937057743568</v>
      </c>
      <c r="BG297" s="53">
        <v>1.9420937057743568</v>
      </c>
      <c r="BH297" s="53">
        <v>1.9420937057743568</v>
      </c>
      <c r="BI297" s="353" t="s">
        <v>87</v>
      </c>
      <c r="BK297" s="308">
        <f>SUM(AE297:BH297)</f>
        <v>58.272994145256547</v>
      </c>
    </row>
    <row r="298" spans="1:63" s="45" customFormat="1" ht="12">
      <c r="A298" s="64"/>
      <c r="B298" s="64"/>
      <c r="C298" s="51"/>
      <c r="F298" s="252"/>
      <c r="G298" s="252"/>
      <c r="H298" s="252"/>
      <c r="I298" s="252"/>
      <c r="J298" s="252"/>
      <c r="K298" s="252"/>
      <c r="L298" s="252"/>
      <c r="M298" s="252"/>
      <c r="N298" s="252"/>
      <c r="O298" s="252"/>
      <c r="P298" s="252"/>
      <c r="Q298" s="252"/>
      <c r="R298" s="252"/>
      <c r="S298" s="252"/>
      <c r="T298" s="252"/>
      <c r="U298" s="252"/>
      <c r="V298" s="252"/>
      <c r="W298" s="252"/>
      <c r="X298" s="252"/>
      <c r="Y298" s="252"/>
      <c r="Z298" s="252"/>
      <c r="AA298" s="252"/>
      <c r="AB298" s="252"/>
      <c r="AC298" s="252"/>
      <c r="AD298" s="350"/>
      <c r="AE298" s="350"/>
      <c r="AF298" s="350"/>
      <c r="AG298" s="350"/>
      <c r="AH298" s="350"/>
      <c r="AI298" s="350"/>
      <c r="AJ298" s="350"/>
      <c r="AK298" s="350"/>
      <c r="AL298" s="350"/>
      <c r="AM298" s="350"/>
      <c r="AN298" s="350"/>
      <c r="AO298" s="350"/>
      <c r="AP298" s="350"/>
      <c r="AQ298" s="350"/>
      <c r="AR298" s="350"/>
      <c r="AS298" s="350"/>
      <c r="AT298" s="350"/>
      <c r="AU298" s="350"/>
      <c r="AV298" s="350"/>
      <c r="AW298" s="350"/>
      <c r="AX298" s="350"/>
      <c r="AY298" s="350"/>
      <c r="AZ298" s="350"/>
      <c r="BA298" s="350"/>
    </row>
    <row r="299" spans="1:63" s="53" customFormat="1" ht="12">
      <c r="A299" s="45"/>
      <c r="B299" s="45"/>
      <c r="C299" s="51"/>
      <c r="D299" s="45"/>
      <c r="E299" s="45"/>
      <c r="F299" s="350">
        <f>F295*F$277</f>
        <v>-1.0776699029126215</v>
      </c>
      <c r="G299" s="350">
        <f t="shared" ref="G299:AC301" si="171">G295*G$277</f>
        <v>-3.4216231501555283</v>
      </c>
      <c r="H299" s="350">
        <f t="shared" si="171"/>
        <v>-4.1577936056611851</v>
      </c>
      <c r="I299" s="350">
        <f t="shared" si="171"/>
        <v>-5.8823395616068073</v>
      </c>
      <c r="J299" s="350">
        <f t="shared" si="171"/>
        <v>-1.4630204403482274</v>
      </c>
      <c r="K299" s="350">
        <f t="shared" si="171"/>
        <v>0</v>
      </c>
      <c r="L299" s="350">
        <f t="shared" si="171"/>
        <v>0</v>
      </c>
      <c r="M299" s="350">
        <f t="shared" si="171"/>
        <v>0</v>
      </c>
      <c r="N299" s="350">
        <f t="shared" si="171"/>
        <v>0</v>
      </c>
      <c r="O299" s="350">
        <f t="shared" si="171"/>
        <v>0</v>
      </c>
      <c r="P299" s="350">
        <f t="shared" si="171"/>
        <v>0</v>
      </c>
      <c r="Q299" s="350">
        <f t="shared" si="171"/>
        <v>0</v>
      </c>
      <c r="R299" s="350">
        <f t="shared" si="171"/>
        <v>0</v>
      </c>
      <c r="S299" s="350">
        <f t="shared" si="171"/>
        <v>0</v>
      </c>
      <c r="T299" s="350">
        <f t="shared" si="171"/>
        <v>0</v>
      </c>
      <c r="U299" s="350">
        <f t="shared" si="171"/>
        <v>0</v>
      </c>
      <c r="V299" s="350">
        <f t="shared" si="171"/>
        <v>0</v>
      </c>
      <c r="W299" s="350">
        <f t="shared" si="171"/>
        <v>0</v>
      </c>
      <c r="X299" s="350">
        <f t="shared" si="171"/>
        <v>0</v>
      </c>
      <c r="Y299" s="350">
        <f t="shared" si="171"/>
        <v>0</v>
      </c>
      <c r="Z299" s="350">
        <f t="shared" si="171"/>
        <v>0</v>
      </c>
      <c r="AA299" s="350">
        <f t="shared" si="171"/>
        <v>0</v>
      </c>
      <c r="AB299" s="350">
        <f t="shared" si="171"/>
        <v>0</v>
      </c>
      <c r="AC299" s="350">
        <f t="shared" si="171"/>
        <v>0</v>
      </c>
      <c r="AD299" s="480">
        <f>SUM(F299:AC299)</f>
        <v>-16.00244666068437</v>
      </c>
      <c r="AE299" s="350">
        <f t="shared" ref="AE299:BG299" si="172">AE295*AE$277</f>
        <v>0</v>
      </c>
      <c r="AF299" s="350">
        <f t="shared" si="172"/>
        <v>0</v>
      </c>
      <c r="AG299" s="350">
        <f t="shared" si="172"/>
        <v>0</v>
      </c>
      <c r="AH299" s="350">
        <f t="shared" si="172"/>
        <v>0</v>
      </c>
      <c r="AI299" s="350">
        <f t="shared" si="172"/>
        <v>0</v>
      </c>
      <c r="AJ299" s="350">
        <f t="shared" si="172"/>
        <v>0</v>
      </c>
      <c r="AK299" s="350">
        <f t="shared" si="172"/>
        <v>0</v>
      </c>
      <c r="AL299" s="350">
        <f t="shared" si="172"/>
        <v>0</v>
      </c>
      <c r="AM299" s="350">
        <f t="shared" si="172"/>
        <v>0</v>
      </c>
      <c r="AN299" s="350">
        <f t="shared" si="172"/>
        <v>0</v>
      </c>
      <c r="AO299" s="350">
        <f t="shared" si="172"/>
        <v>0</v>
      </c>
      <c r="AP299" s="350">
        <f t="shared" si="172"/>
        <v>0</v>
      </c>
      <c r="AQ299" s="350">
        <f t="shared" si="172"/>
        <v>0</v>
      </c>
      <c r="AR299" s="350">
        <f t="shared" si="172"/>
        <v>0</v>
      </c>
      <c r="AS299" s="350">
        <f>AS295*AS$277</f>
        <v>0</v>
      </c>
      <c r="AT299" s="350">
        <f t="shared" si="172"/>
        <v>0</v>
      </c>
      <c r="AU299" s="350">
        <f t="shared" si="172"/>
        <v>0</v>
      </c>
      <c r="AV299" s="350">
        <f t="shared" si="172"/>
        <v>0</v>
      </c>
      <c r="AW299" s="350">
        <f t="shared" si="172"/>
        <v>0</v>
      </c>
      <c r="AX299" s="350">
        <f t="shared" si="172"/>
        <v>0</v>
      </c>
      <c r="AY299" s="350">
        <f>AY295*AY$277</f>
        <v>0</v>
      </c>
      <c r="AZ299" s="350">
        <f t="shared" si="172"/>
        <v>0</v>
      </c>
      <c r="BA299" s="350">
        <f t="shared" si="172"/>
        <v>0</v>
      </c>
      <c r="BB299" s="350">
        <f t="shared" si="172"/>
        <v>0</v>
      </c>
      <c r="BC299" s="350">
        <f t="shared" si="172"/>
        <v>0</v>
      </c>
      <c r="BD299" s="350">
        <f t="shared" si="172"/>
        <v>0</v>
      </c>
      <c r="BE299" s="350">
        <f t="shared" si="172"/>
        <v>0</v>
      </c>
      <c r="BF299" s="350">
        <f t="shared" si="172"/>
        <v>0</v>
      </c>
      <c r="BG299" s="350">
        <f t="shared" si="172"/>
        <v>0</v>
      </c>
      <c r="BH299" s="350">
        <f t="shared" ref="BH299" si="173">BH295*BH$277</f>
        <v>0</v>
      </c>
      <c r="BI299" s="355" t="s">
        <v>568</v>
      </c>
      <c r="BK299" s="308">
        <f>SUM(AE299:BH299)</f>
        <v>0</v>
      </c>
    </row>
    <row r="300" spans="1:63">
      <c r="A300" s="25"/>
      <c r="B300" s="25"/>
      <c r="C300" s="50"/>
      <c r="D300" s="25"/>
      <c r="F300" s="350">
        <f t="shared" ref="F300:U301" si="174">F296*F$277</f>
        <v>0</v>
      </c>
      <c r="G300" s="350">
        <f t="shared" si="174"/>
        <v>0</v>
      </c>
      <c r="H300" s="350">
        <f t="shared" si="174"/>
        <v>-0.21941410686292204</v>
      </c>
      <c r="I300" s="350">
        <f t="shared" si="174"/>
        <v>-0.3195351070819249</v>
      </c>
      <c r="J300" s="350">
        <f t="shared" si="174"/>
        <v>-0.36535297765868735</v>
      </c>
      <c r="K300" s="350">
        <f t="shared" si="174"/>
        <v>-0.45712001995816104</v>
      </c>
      <c r="L300" s="350">
        <f t="shared" si="174"/>
        <v>-0.44996543344843959</v>
      </c>
      <c r="M300" s="350">
        <f t="shared" si="174"/>
        <v>-0.44298332573608484</v>
      </c>
      <c r="N300" s="350">
        <f t="shared" si="174"/>
        <v>-0.43616969067157019</v>
      </c>
      <c r="O300" s="350">
        <f t="shared" si="174"/>
        <v>-0.42586353437082214</v>
      </c>
      <c r="P300" s="350">
        <f t="shared" si="174"/>
        <v>-0.41581008705981992</v>
      </c>
      <c r="Q300" s="350">
        <f t="shared" si="174"/>
        <v>-0.4060029256276752</v>
      </c>
      <c r="R300" s="350">
        <f t="shared" si="174"/>
        <v>-0.39643579545665131</v>
      </c>
      <c r="S300" s="350">
        <f t="shared" si="174"/>
        <v>-0.38710260588637774</v>
      </c>
      <c r="T300" s="350">
        <f t="shared" si="174"/>
        <v>-0.37799742580263218</v>
      </c>
      <c r="U300" s="350">
        <f t="shared" si="174"/>
        <v>-0.36911447934721719</v>
      </c>
      <c r="V300" s="350">
        <f t="shared" si="171"/>
        <v>-0.36044814174555806</v>
      </c>
      <c r="W300" s="350">
        <f t="shared" si="171"/>
        <v>-0.35199293524874264</v>
      </c>
      <c r="X300" s="350">
        <f t="shared" si="171"/>
        <v>-0.3437435251868165</v>
      </c>
      <c r="Y300" s="350">
        <f t="shared" si="171"/>
        <v>-0.33569471613023483</v>
      </c>
      <c r="Z300" s="350">
        <f t="shared" si="171"/>
        <v>-0.32784144815646443</v>
      </c>
      <c r="AA300" s="350">
        <f t="shared" si="171"/>
        <v>-0.32017879321880666</v>
      </c>
      <c r="AB300" s="350">
        <f t="shared" si="171"/>
        <v>-0.3127019516146019</v>
      </c>
      <c r="AC300" s="350">
        <f t="shared" si="171"/>
        <v>-0.30540624855004966</v>
      </c>
      <c r="AD300" s="480">
        <f t="shared" ref="AD300:AD305" si="175">SUM(F300:AC300)</f>
        <v>-8.1268752748202608</v>
      </c>
      <c r="AE300" s="350">
        <f t="shared" ref="AE300:AX300" si="176">AE296*AE$277</f>
        <v>-0.29216788925858739</v>
      </c>
      <c r="AF300" s="350">
        <f t="shared" si="176"/>
        <v>-0.28233641187572239</v>
      </c>
      <c r="AG300" s="350">
        <f t="shared" si="176"/>
        <v>-0.2741130212385654</v>
      </c>
      <c r="AH300" s="350">
        <f t="shared" si="176"/>
        <v>-0.26612914683355865</v>
      </c>
      <c r="AI300" s="350">
        <f t="shared" si="176"/>
        <v>-0.25837781245976565</v>
      </c>
      <c r="AJ300" s="350">
        <f t="shared" si="176"/>
        <v>-0.25085224510656862</v>
      </c>
      <c r="AK300" s="350">
        <f t="shared" si="176"/>
        <v>-0.24354586903550351</v>
      </c>
      <c r="AL300" s="350">
        <f t="shared" si="176"/>
        <v>-0.23645230003446943</v>
      </c>
      <c r="AM300" s="350">
        <f t="shared" si="176"/>
        <v>-0.2295653398392907</v>
      </c>
      <c r="AN300" s="350">
        <f t="shared" si="176"/>
        <v>-0.22287897071775797</v>
      </c>
      <c r="AO300" s="350">
        <f t="shared" si="176"/>
        <v>-0.21638735021141547</v>
      </c>
      <c r="AP300" s="350">
        <f t="shared" si="176"/>
        <v>-0.21008480603050045</v>
      </c>
      <c r="AQ300" s="350">
        <f t="shared" si="176"/>
        <v>-0.20396583109757324</v>
      </c>
      <c r="AR300" s="350">
        <f t="shared" si="176"/>
        <v>-0.19802507873550798</v>
      </c>
      <c r="AS300" s="350">
        <f t="shared" si="176"/>
        <v>-0.50801090399265802</v>
      </c>
      <c r="AT300" s="350">
        <f t="shared" si="176"/>
        <v>-0.18665762912197942</v>
      </c>
      <c r="AU300" s="350">
        <f t="shared" si="176"/>
        <v>-0.18122099914755282</v>
      </c>
      <c r="AV300" s="350">
        <f t="shared" si="176"/>
        <v>-0.17594271761898334</v>
      </c>
      <c r="AW300" s="350">
        <f t="shared" si="176"/>
        <v>-0.1708181724456149</v>
      </c>
      <c r="AX300" s="350">
        <f t="shared" si="176"/>
        <v>-0.165842885869529</v>
      </c>
      <c r="AY300" s="350">
        <f t="shared" ref="AY300:BG300" si="177">AY296*AY$277</f>
        <v>-0.16101251055294075</v>
      </c>
      <c r="AZ300" s="350">
        <f t="shared" si="177"/>
        <v>-0.15632282577955411</v>
      </c>
      <c r="BA300" s="350">
        <f t="shared" si="177"/>
        <v>-0.15176973376655739</v>
      </c>
      <c r="BB300" s="350">
        <f t="shared" si="177"/>
        <v>-0.14734925608403632</v>
      </c>
      <c r="BC300" s="350">
        <f t="shared" si="177"/>
        <v>-0.14305753017867603</v>
      </c>
      <c r="BD300" s="350">
        <f t="shared" si="177"/>
        <v>-0.13889080599871456</v>
      </c>
      <c r="BE300" s="350">
        <f t="shared" si="177"/>
        <v>-0.13484544271719862</v>
      </c>
      <c r="BF300" s="350">
        <f t="shared" si="177"/>
        <v>-0.13091790555067825</v>
      </c>
      <c r="BG300" s="350">
        <f t="shared" si="177"/>
        <v>-0.12710476267056142</v>
      </c>
      <c r="BH300" s="350">
        <f t="shared" ref="BH300" si="178">BH296*BH$277</f>
        <v>-0.12340268220442854</v>
      </c>
      <c r="BI300" s="355" t="s">
        <v>569</v>
      </c>
      <c r="BK300" s="308">
        <f>SUM(AE300:BH300)</f>
        <v>-6.1880488361744499</v>
      </c>
    </row>
    <row r="301" spans="1:63">
      <c r="A301" s="25"/>
      <c r="B301" s="25"/>
      <c r="C301" s="45"/>
      <c r="D301" s="42"/>
      <c r="E301" s="42"/>
      <c r="F301" s="350">
        <f t="shared" si="174"/>
        <v>0</v>
      </c>
      <c r="G301" s="350">
        <f t="shared" si="171"/>
        <v>0</v>
      </c>
      <c r="H301" s="350">
        <f t="shared" si="171"/>
        <v>0</v>
      </c>
      <c r="I301" s="350">
        <f t="shared" si="171"/>
        <v>0</v>
      </c>
      <c r="J301" s="350">
        <f t="shared" si="171"/>
        <v>1.1690868099678902</v>
      </c>
      <c r="K301" s="350">
        <f t="shared" si="171"/>
        <v>1.4696606425934093</v>
      </c>
      <c r="L301" s="350">
        <f t="shared" si="171"/>
        <v>1.4569851631327713</v>
      </c>
      <c r="M301" s="350">
        <f t="shared" si="171"/>
        <v>1.4447952274592748</v>
      </c>
      <c r="N301" s="350">
        <f t="shared" si="171"/>
        <v>1.4336890662216468</v>
      </c>
      <c r="O301" s="350">
        <f t="shared" si="171"/>
        <v>1.3952740362538723</v>
      </c>
      <c r="P301" s="350">
        <f t="shared" si="171"/>
        <v>1.3591977382237979</v>
      </c>
      <c r="Q301" s="350">
        <f t="shared" si="171"/>
        <v>1.3240802824922768</v>
      </c>
      <c r="R301" s="350">
        <f t="shared" si="171"/>
        <v>1.2898956512393951</v>
      </c>
      <c r="S301" s="350">
        <f t="shared" si="171"/>
        <v>1.2566185437331208</v>
      </c>
      <c r="T301" s="350">
        <f t="shared" si="171"/>
        <v>1.2242243563363191</v>
      </c>
      <c r="U301" s="350">
        <f t="shared" si="171"/>
        <v>1.1926891630758949</v>
      </c>
      <c r="V301" s="350">
        <f t="shared" si="171"/>
        <v>1.1619896967581458</v>
      </c>
      <c r="W301" s="350">
        <f t="shared" si="171"/>
        <v>1.1321033306148873</v>
      </c>
      <c r="X301" s="350">
        <f t="shared" si="171"/>
        <v>1.1030080604653416</v>
      </c>
      <c r="Y301" s="350">
        <f t="shared" si="171"/>
        <v>1.0746824873791969</v>
      </c>
      <c r="Z301" s="350">
        <f t="shared" si="171"/>
        <v>1.0473499427134521</v>
      </c>
      <c r="AA301" s="350">
        <f t="shared" si="171"/>
        <v>1.0207350110092819</v>
      </c>
      <c r="AB301" s="350">
        <f t="shared" si="171"/>
        <v>0.99481839748865197</v>
      </c>
      <c r="AC301" s="350">
        <f t="shared" si="171"/>
        <v>0.9695813354672258</v>
      </c>
      <c r="AD301" s="480">
        <f t="shared" si="175"/>
        <v>24.52046494262585</v>
      </c>
      <c r="AE301" s="350">
        <f t="shared" ref="AE301:AX301" si="179">AE297*AE$277</f>
        <v>0.93241821405703662</v>
      </c>
      <c r="AF301" s="350">
        <f t="shared" si="179"/>
        <v>0.90053861155907478</v>
      </c>
      <c r="AG301" s="350">
        <f t="shared" si="179"/>
        <v>0.87430933161075219</v>
      </c>
      <c r="AH301" s="350">
        <f t="shared" si="179"/>
        <v>0.84884401127257492</v>
      </c>
      <c r="AI301" s="350">
        <f t="shared" si="179"/>
        <v>0.82412039929376202</v>
      </c>
      <c r="AJ301" s="350">
        <f t="shared" si="179"/>
        <v>0.80011689251821549</v>
      </c>
      <c r="AK301" s="350">
        <f t="shared" si="179"/>
        <v>0.77681251700797627</v>
      </c>
      <c r="AL301" s="350">
        <f t="shared" si="179"/>
        <v>0.75418690971648183</v>
      </c>
      <c r="AM301" s="350">
        <f t="shared" si="179"/>
        <v>0.73222030069561339</v>
      </c>
      <c r="AN301" s="350">
        <f t="shared" si="179"/>
        <v>0.71089349582098393</v>
      </c>
      <c r="AO301" s="350">
        <f t="shared" si="179"/>
        <v>0.69018786002037269</v>
      </c>
      <c r="AP301" s="350">
        <f t="shared" si="179"/>
        <v>0.670085300990653</v>
      </c>
      <c r="AQ301" s="350">
        <f t="shared" si="179"/>
        <v>0.6505682533889835</v>
      </c>
      <c r="AR301" s="350">
        <f t="shared" si="179"/>
        <v>0.63161966348444998</v>
      </c>
      <c r="AS301" s="350">
        <f t="shared" si="179"/>
        <v>0.61322297425674743</v>
      </c>
      <c r="AT301" s="350">
        <f t="shared" si="179"/>
        <v>0.59536211092888103</v>
      </c>
      <c r="AU301" s="350">
        <f t="shared" si="179"/>
        <v>0.57802146692124368</v>
      </c>
      <c r="AV301" s="350">
        <f t="shared" si="179"/>
        <v>0.5611858902147997</v>
      </c>
      <c r="AW301" s="350">
        <f t="shared" si="179"/>
        <v>0.54484067011145598</v>
      </c>
      <c r="AX301" s="350">
        <f t="shared" si="179"/>
        <v>0.52897152438005435</v>
      </c>
      <c r="AY301" s="350">
        <f t="shared" ref="AY301:BG301" si="180">AY297*AY$277</f>
        <v>0.51356458677675176</v>
      </c>
      <c r="AZ301" s="350">
        <f t="shared" si="180"/>
        <v>0.49860639492888514</v>
      </c>
      <c r="BA301" s="350">
        <f t="shared" si="180"/>
        <v>0.48408387857173313</v>
      </c>
      <c r="BB301" s="350">
        <f t="shared" si="180"/>
        <v>0.46998434812789625</v>
      </c>
      <c r="BC301" s="350">
        <f t="shared" si="180"/>
        <v>0.45629548361931671</v>
      </c>
      <c r="BD301" s="350">
        <f t="shared" si="180"/>
        <v>0.44300532390224923</v>
      </c>
      <c r="BE301" s="350">
        <f t="shared" si="180"/>
        <v>0.43010225621577591</v>
      </c>
      <c r="BF301" s="350">
        <f t="shared" si="180"/>
        <v>0.41757500603473385</v>
      </c>
      <c r="BG301" s="350">
        <f t="shared" si="180"/>
        <v>0.40541262721818822</v>
      </c>
      <c r="BH301" s="350">
        <f t="shared" ref="BH301" si="181">BH297*BH$277</f>
        <v>0.39360449244484291</v>
      </c>
      <c r="BI301" s="353" t="s">
        <v>87</v>
      </c>
      <c r="BK301" s="308">
        <f>SUM(AE301:BH301)</f>
        <v>18.73076079609049</v>
      </c>
    </row>
    <row r="302" spans="1:63">
      <c r="A302" s="25"/>
      <c r="B302" s="25"/>
      <c r="C302" s="45"/>
      <c r="D302" s="42"/>
      <c r="E302" s="42"/>
      <c r="F302" s="42"/>
      <c r="AD302" s="480">
        <f>AD299+AD300</f>
        <v>-24.129321935504631</v>
      </c>
    </row>
    <row r="303" spans="1:63">
      <c r="A303" s="25"/>
      <c r="B303" s="25"/>
      <c r="C303" s="45"/>
      <c r="D303" s="42"/>
      <c r="E303" s="42"/>
      <c r="F303" s="350">
        <f>F295*F$279</f>
        <v>-1.0373831775700935</v>
      </c>
      <c r="G303" s="350">
        <f t="shared" ref="G303:AC303" si="182">G295*G$279</f>
        <v>-3.170582583631758</v>
      </c>
      <c r="H303" s="350">
        <f t="shared" si="182"/>
        <v>-3.7087133540074344</v>
      </c>
      <c r="I303" s="350">
        <f t="shared" si="182"/>
        <v>-5.0508431132621459</v>
      </c>
      <c r="J303" s="350">
        <f t="shared" si="182"/>
        <v>-1.2092542681617822</v>
      </c>
      <c r="K303" s="350">
        <f t="shared" si="182"/>
        <v>0</v>
      </c>
      <c r="L303" s="350">
        <f t="shared" si="182"/>
        <v>0</v>
      </c>
      <c r="M303" s="350">
        <f t="shared" si="182"/>
        <v>0</v>
      </c>
      <c r="N303" s="350">
        <f t="shared" si="182"/>
        <v>0</v>
      </c>
      <c r="O303" s="350">
        <f t="shared" si="182"/>
        <v>0</v>
      </c>
      <c r="P303" s="350">
        <f t="shared" si="182"/>
        <v>0</v>
      </c>
      <c r="Q303" s="350">
        <f t="shared" si="182"/>
        <v>0</v>
      </c>
      <c r="R303" s="350">
        <f t="shared" si="182"/>
        <v>0</v>
      </c>
      <c r="S303" s="350">
        <f t="shared" si="182"/>
        <v>0</v>
      </c>
      <c r="T303" s="350">
        <f t="shared" si="182"/>
        <v>0</v>
      </c>
      <c r="U303" s="350">
        <f t="shared" si="182"/>
        <v>0</v>
      </c>
      <c r="V303" s="350">
        <f t="shared" si="182"/>
        <v>0</v>
      </c>
      <c r="W303" s="350">
        <f t="shared" si="182"/>
        <v>0</v>
      </c>
      <c r="X303" s="350">
        <f t="shared" si="182"/>
        <v>0</v>
      </c>
      <c r="Y303" s="350">
        <f t="shared" si="182"/>
        <v>0</v>
      </c>
      <c r="Z303" s="350">
        <f t="shared" si="182"/>
        <v>0</v>
      </c>
      <c r="AA303" s="350">
        <f t="shared" si="182"/>
        <v>0</v>
      </c>
      <c r="AB303" s="350">
        <f t="shared" si="182"/>
        <v>0</v>
      </c>
      <c r="AC303" s="350">
        <f t="shared" si="182"/>
        <v>0</v>
      </c>
      <c r="AD303" s="480">
        <f t="shared" si="175"/>
        <v>-14.176776496633213</v>
      </c>
      <c r="AE303" s="350">
        <f t="shared" ref="AE303:AX303" si="183">AE295*AE$279</f>
        <v>0</v>
      </c>
      <c r="AF303" s="350">
        <f t="shared" si="183"/>
        <v>0</v>
      </c>
      <c r="AG303" s="350">
        <f t="shared" si="183"/>
        <v>0</v>
      </c>
      <c r="AH303" s="350">
        <f t="shared" si="183"/>
        <v>0</v>
      </c>
      <c r="AI303" s="350">
        <f t="shared" si="183"/>
        <v>0</v>
      </c>
      <c r="AJ303" s="350">
        <f t="shared" si="183"/>
        <v>0</v>
      </c>
      <c r="AK303" s="350">
        <f t="shared" si="183"/>
        <v>0</v>
      </c>
      <c r="AL303" s="350">
        <f t="shared" si="183"/>
        <v>0</v>
      </c>
      <c r="AM303" s="350">
        <f t="shared" si="183"/>
        <v>0</v>
      </c>
      <c r="AN303" s="350">
        <f t="shared" si="183"/>
        <v>0</v>
      </c>
      <c r="AO303" s="350">
        <f t="shared" si="183"/>
        <v>0</v>
      </c>
      <c r="AP303" s="350">
        <f t="shared" si="183"/>
        <v>0</v>
      </c>
      <c r="AQ303" s="350">
        <f t="shared" si="183"/>
        <v>0</v>
      </c>
      <c r="AR303" s="350">
        <f t="shared" si="183"/>
        <v>0</v>
      </c>
      <c r="AS303" s="350">
        <f>AS295*AS$279</f>
        <v>0</v>
      </c>
      <c r="AT303" s="350">
        <f t="shared" si="183"/>
        <v>0</v>
      </c>
      <c r="AU303" s="350">
        <f t="shared" si="183"/>
        <v>0</v>
      </c>
      <c r="AV303" s="350">
        <f t="shared" si="183"/>
        <v>0</v>
      </c>
      <c r="AW303" s="350">
        <f t="shared" si="183"/>
        <v>0</v>
      </c>
      <c r="AX303" s="350">
        <f t="shared" si="183"/>
        <v>0</v>
      </c>
      <c r="AY303" s="350">
        <f>AY295*AY$279</f>
        <v>0</v>
      </c>
      <c r="AZ303" s="350">
        <f t="shared" ref="AZ303:BG303" si="184">AZ295*AZ$279</f>
        <v>0</v>
      </c>
      <c r="BA303" s="350">
        <f t="shared" si="184"/>
        <v>0</v>
      </c>
      <c r="BB303" s="350">
        <f t="shared" si="184"/>
        <v>0</v>
      </c>
      <c r="BC303" s="350">
        <f t="shared" si="184"/>
        <v>0</v>
      </c>
      <c r="BD303" s="350">
        <f t="shared" si="184"/>
        <v>0</v>
      </c>
      <c r="BE303" s="350">
        <f t="shared" si="184"/>
        <v>0</v>
      </c>
      <c r="BF303" s="350">
        <f t="shared" si="184"/>
        <v>0</v>
      </c>
      <c r="BG303" s="350">
        <f t="shared" si="184"/>
        <v>0</v>
      </c>
      <c r="BH303" s="350">
        <f t="shared" ref="BH303" si="185">BH295*BH$279</f>
        <v>0</v>
      </c>
      <c r="BI303" s="355" t="s">
        <v>568</v>
      </c>
      <c r="BK303" s="308">
        <f>SUM(AE303:BH303)</f>
        <v>0</v>
      </c>
    </row>
    <row r="304" spans="1:63">
      <c r="A304" s="25"/>
      <c r="B304" s="25"/>
      <c r="C304" s="52"/>
      <c r="D304" s="42"/>
      <c r="E304" s="42"/>
      <c r="F304" s="350">
        <f t="shared" ref="F304:AC304" si="186">F296*F$279</f>
        <v>0</v>
      </c>
      <c r="G304" s="350">
        <f t="shared" si="186"/>
        <v>0</v>
      </c>
      <c r="H304" s="350">
        <f t="shared" si="186"/>
        <v>-0.19571534937957297</v>
      </c>
      <c r="I304" s="350">
        <f t="shared" si="186"/>
        <v>-0.27436731221435429</v>
      </c>
      <c r="J304" s="350">
        <f t="shared" si="186"/>
        <v>-0.30198118593218409</v>
      </c>
      <c r="K304" s="350">
        <f t="shared" si="186"/>
        <v>-0.36370638399358768</v>
      </c>
      <c r="L304" s="350">
        <f t="shared" si="186"/>
        <v>-0.34463015986237966</v>
      </c>
      <c r="M304" s="350">
        <f t="shared" si="186"/>
        <v>-0.32659907883262779</v>
      </c>
      <c r="N304" s="350">
        <f t="shared" si="186"/>
        <v>-0.30955406143506037</v>
      </c>
      <c r="O304" s="350">
        <f t="shared" si="186"/>
        <v>-0.29094099805055301</v>
      </c>
      <c r="P304" s="350">
        <f t="shared" si="186"/>
        <v>-0.27345315458799174</v>
      </c>
      <c r="Q304" s="350">
        <f t="shared" si="186"/>
        <v>-0.25702213530250706</v>
      </c>
      <c r="R304" s="350">
        <f t="shared" si="186"/>
        <v>-0.24158372459707714</v>
      </c>
      <c r="S304" s="350">
        <f t="shared" si="186"/>
        <v>-0.22707763016544641</v>
      </c>
      <c r="T304" s="350">
        <f t="shared" si="186"/>
        <v>-0.2134472420010029</v>
      </c>
      <c r="U304" s="350">
        <f t="shared" si="186"/>
        <v>-0.20063940628663005</v>
      </c>
      <c r="V304" s="350">
        <f t="shared" si="186"/>
        <v>-0.18860421324199508</v>
      </c>
      <c r="W304" s="350">
        <f t="shared" si="186"/>
        <v>-0.17729479806232543</v>
      </c>
      <c r="X304" s="350">
        <f t="shared" si="186"/>
        <v>-0.1666671541367119</v>
      </c>
      <c r="Y304" s="350">
        <f t="shared" si="186"/>
        <v>-0.15667995778457913</v>
      </c>
      <c r="Z304" s="350">
        <f t="shared" si="186"/>
        <v>-0.14729440379640232</v>
      </c>
      <c r="AA304" s="350">
        <f t="shared" si="186"/>
        <v>-0.13847405110921288</v>
      </c>
      <c r="AB304" s="350">
        <f t="shared" si="186"/>
        <v>-0.13018467798912309</v>
      </c>
      <c r="AC304" s="350">
        <f t="shared" si="186"/>
        <v>-0.122394146132174</v>
      </c>
      <c r="AD304" s="480">
        <f t="shared" si="175"/>
        <v>-5.0483112248934994</v>
      </c>
      <c r="AE304" s="350">
        <f t="shared" ref="AE304:AX304" si="187">AE296*AE$279</f>
        <v>-0.11708876129030515</v>
      </c>
      <c r="AF304" s="350">
        <f t="shared" si="187"/>
        <v>-0.11314871328799213</v>
      </c>
      <c r="AG304" s="350">
        <f t="shared" si="187"/>
        <v>-0.10985311969707973</v>
      </c>
      <c r="AH304" s="350">
        <f t="shared" si="187"/>
        <v>-0.10665351426900944</v>
      </c>
      <c r="AI304" s="350">
        <f t="shared" si="187"/>
        <v>-0.10354710123204801</v>
      </c>
      <c r="AJ304" s="350">
        <f t="shared" si="187"/>
        <v>-0.1005311662447068</v>
      </c>
      <c r="AK304" s="350">
        <f t="shared" si="187"/>
        <v>-9.7603074023987185E-2</v>
      </c>
      <c r="AL304" s="350">
        <f t="shared" si="187"/>
        <v>-9.4760266042706001E-2</v>
      </c>
      <c r="AM304" s="350">
        <f t="shared" si="187"/>
        <v>-9.2000258293889317E-2</v>
      </c>
      <c r="AN304" s="350">
        <f t="shared" si="187"/>
        <v>-8.9320639120280876E-2</v>
      </c>
      <c r="AO304" s="350">
        <f t="shared" si="187"/>
        <v>-8.6719067107068809E-2</v>
      </c>
      <c r="AP304" s="350">
        <f t="shared" si="187"/>
        <v>-8.4193269035989143E-2</v>
      </c>
      <c r="AQ304" s="350">
        <f t="shared" si="187"/>
        <v>-8.1741037899018598E-2</v>
      </c>
      <c r="AR304" s="350">
        <f t="shared" si="187"/>
        <v>-7.9360230969920967E-2</v>
      </c>
      <c r="AS304" s="350">
        <f t="shared" si="187"/>
        <v>-0.2035896813349764</v>
      </c>
      <c r="AT304" s="350">
        <f t="shared" si="187"/>
        <v>-7.4804629060157363E-2</v>
      </c>
      <c r="AU304" s="350">
        <f t="shared" si="187"/>
        <v>-7.2625853456463468E-2</v>
      </c>
      <c r="AV304" s="350">
        <f t="shared" si="187"/>
        <v>-7.0510537336372289E-2</v>
      </c>
      <c r="AW304" s="350">
        <f t="shared" si="187"/>
        <v>-6.8456832365409989E-2</v>
      </c>
      <c r="AX304" s="350">
        <f t="shared" si="187"/>
        <v>-6.6462944044087369E-2</v>
      </c>
      <c r="AY304" s="350">
        <f t="shared" ref="AY304:BG304" si="188">AY296*AY$279</f>
        <v>-6.4527130139890657E-2</v>
      </c>
      <c r="AZ304" s="350">
        <f t="shared" si="188"/>
        <v>-6.264769916494238E-2</v>
      </c>
      <c r="BA304" s="350">
        <f t="shared" si="188"/>
        <v>-6.0823008898002309E-2</v>
      </c>
      <c r="BB304" s="350">
        <f t="shared" si="188"/>
        <v>-5.9051464949516803E-2</v>
      </c>
      <c r="BC304" s="350">
        <f t="shared" si="188"/>
        <v>-5.7331519368462917E-2</v>
      </c>
      <c r="BD304" s="350">
        <f t="shared" si="188"/>
        <v>-5.566166928976983E-2</v>
      </c>
      <c r="BE304" s="350">
        <f t="shared" si="188"/>
        <v>-5.4040455621135755E-2</v>
      </c>
      <c r="BF304" s="350">
        <f t="shared" si="188"/>
        <v>-5.2466461768092963E-2</v>
      </c>
      <c r="BG304" s="350">
        <f t="shared" si="188"/>
        <v>-5.0938312396206761E-2</v>
      </c>
      <c r="BH304" s="350">
        <f t="shared" ref="BH304" si="189">BH296*BH$279</f>
        <v>-4.9454672229326944E-2</v>
      </c>
      <c r="BI304" s="355" t="s">
        <v>569</v>
      </c>
      <c r="BK304" s="308">
        <f>SUM(AE304:BH304)</f>
        <v>-2.4799130899368165</v>
      </c>
    </row>
    <row r="305" spans="1:63">
      <c r="A305" s="25"/>
      <c r="B305" s="25"/>
      <c r="C305" s="52"/>
      <c r="D305" s="42"/>
      <c r="E305" s="42"/>
      <c r="F305" s="350">
        <f t="shared" ref="F305:AC305" si="190">F297*F$279</f>
        <v>0</v>
      </c>
      <c r="G305" s="350">
        <f t="shared" si="190"/>
        <v>0</v>
      </c>
      <c r="H305" s="350">
        <f t="shared" si="190"/>
        <v>0</v>
      </c>
      <c r="I305" s="350">
        <f t="shared" si="190"/>
        <v>0</v>
      </c>
      <c r="J305" s="350">
        <f t="shared" si="190"/>
        <v>0.96630448612790387</v>
      </c>
      <c r="K305" s="350">
        <f t="shared" si="190"/>
        <v>1.1693317611953751</v>
      </c>
      <c r="L305" s="350">
        <f t="shared" si="190"/>
        <v>1.115910228568922</v>
      </c>
      <c r="M305" s="350">
        <f t="shared" si="190"/>
        <v>1.065206663492116</v>
      </c>
      <c r="N305" s="350">
        <f t="shared" si="190"/>
        <v>1.017503698160743</v>
      </c>
      <c r="O305" s="350">
        <f t="shared" si="190"/>
        <v>0.95322183727580989</v>
      </c>
      <c r="P305" s="350">
        <f t="shared" si="190"/>
        <v>0.89386217600991047</v>
      </c>
      <c r="Q305" s="350">
        <f t="shared" si="190"/>
        <v>0.83821549066914902</v>
      </c>
      <c r="R305" s="350">
        <f t="shared" si="190"/>
        <v>0.78604858425822854</v>
      </c>
      <c r="S305" s="350">
        <f t="shared" si="190"/>
        <v>0.73714296053234851</v>
      </c>
      <c r="T305" s="350">
        <f t="shared" si="190"/>
        <v>0.69129389412000775</v>
      </c>
      <c r="U305" s="350">
        <f t="shared" si="190"/>
        <v>0.64830955964461368</v>
      </c>
      <c r="V305" s="350">
        <f t="shared" si="190"/>
        <v>0.6080102160911619</v>
      </c>
      <c r="W305" s="350">
        <f t="shared" si="190"/>
        <v>0.57022744290368388</v>
      </c>
      <c r="X305" s="350">
        <f t="shared" si="190"/>
        <v>0.53480342452327689</v>
      </c>
      <c r="Y305" s="350">
        <f t="shared" si="190"/>
        <v>0.50159028028631403</v>
      </c>
      <c r="Z305" s="350">
        <f t="shared" si="190"/>
        <v>0.47055912620465329</v>
      </c>
      <c r="AA305" s="350">
        <f t="shared" si="190"/>
        <v>0.44145744526830177</v>
      </c>
      <c r="AB305" s="350">
        <f t="shared" si="190"/>
        <v>0.41416470880979317</v>
      </c>
      <c r="AC305" s="350">
        <f t="shared" si="190"/>
        <v>0.38856794916151283</v>
      </c>
      <c r="AD305" s="480">
        <f t="shared" si="175"/>
        <v>14.811731933303825</v>
      </c>
      <c r="AE305" s="350">
        <f t="shared" ref="AE305:AX305" si="191">AE297*AE$279</f>
        <v>0.37367451284774661</v>
      </c>
      <c r="AF305" s="350">
        <f t="shared" si="191"/>
        <v>0.36089849158002285</v>
      </c>
      <c r="AG305" s="350">
        <f t="shared" si="191"/>
        <v>0.35038688502914839</v>
      </c>
      <c r="AH305" s="350">
        <f t="shared" si="191"/>
        <v>0.34018144177587223</v>
      </c>
      <c r="AI305" s="350">
        <f t="shared" si="191"/>
        <v>0.33027324444259443</v>
      </c>
      <c r="AJ305" s="350">
        <f t="shared" si="191"/>
        <v>0.3206536353811596</v>
      </c>
      <c r="AK305" s="350">
        <f t="shared" si="191"/>
        <v>0.31131420910792196</v>
      </c>
      <c r="AL305" s="350">
        <f t="shared" si="191"/>
        <v>0.30224680495914752</v>
      </c>
      <c r="AM305" s="350">
        <f t="shared" si="191"/>
        <v>0.29344349996033736</v>
      </c>
      <c r="AN305" s="350">
        <f t="shared" si="191"/>
        <v>0.28489660190324012</v>
      </c>
      <c r="AO305" s="350">
        <f t="shared" si="191"/>
        <v>0.27659864262450501</v>
      </c>
      <c r="AP305" s="350">
        <f t="shared" si="191"/>
        <v>0.26854237148010196</v>
      </c>
      <c r="AQ305" s="350">
        <f t="shared" si="191"/>
        <v>0.26072074900980774</v>
      </c>
      <c r="AR305" s="350">
        <f t="shared" si="191"/>
        <v>0.25312694078622111</v>
      </c>
      <c r="AS305" s="350">
        <f t="shared" si="191"/>
        <v>0.24575431144293308</v>
      </c>
      <c r="AT305" s="350">
        <f t="shared" si="191"/>
        <v>0.23859641887663405</v>
      </c>
      <c r="AU305" s="350">
        <f t="shared" si="191"/>
        <v>0.23164700861809132</v>
      </c>
      <c r="AV305" s="350">
        <f t="shared" si="191"/>
        <v>0.22490000836707894</v>
      </c>
      <c r="AW305" s="350">
        <f t="shared" si="191"/>
        <v>0.21834952268648442</v>
      </c>
      <c r="AX305" s="350">
        <f t="shared" si="191"/>
        <v>0.21198982785095574</v>
      </c>
      <c r="AY305" s="350">
        <f t="shared" ref="AY305:BG305" si="192">AY297*AY$279</f>
        <v>0.20581536684558807</v>
      </c>
      <c r="AZ305" s="350">
        <f t="shared" si="192"/>
        <v>0.19982074451027967</v>
      </c>
      <c r="BA305" s="350">
        <f t="shared" si="192"/>
        <v>0.19400072282551425</v>
      </c>
      <c r="BB305" s="350">
        <f t="shared" si="192"/>
        <v>0.18835021633545074</v>
      </c>
      <c r="BC305" s="350">
        <f t="shared" si="192"/>
        <v>0.18286428770432112</v>
      </c>
      <c r="BD305" s="350">
        <f t="shared" si="192"/>
        <v>0.17753814340225352</v>
      </c>
      <c r="BE305" s="350">
        <f t="shared" si="192"/>
        <v>0.17236712951675098</v>
      </c>
      <c r="BF305" s="350">
        <f t="shared" si="192"/>
        <v>0.16734672768616599</v>
      </c>
      <c r="BG305" s="350">
        <f t="shared" si="192"/>
        <v>0.16247255115161746</v>
      </c>
      <c r="BH305" s="350">
        <f t="shared" ref="BH305" si="193">BH297*BH$279</f>
        <v>0.15774034092390044</v>
      </c>
      <c r="BI305" s="353" t="s">
        <v>87</v>
      </c>
      <c r="BK305" s="308">
        <f>SUM(AE305:BH305)</f>
        <v>7.5065113596318476</v>
      </c>
    </row>
    <row r="306" spans="1:63">
      <c r="A306" s="25"/>
      <c r="B306" s="25"/>
      <c r="C306" s="52"/>
      <c r="D306" s="42"/>
      <c r="E306" s="42"/>
      <c r="F306" s="42"/>
      <c r="AD306" s="481">
        <f>AD303+AD304</f>
        <v>-19.225087721526712</v>
      </c>
    </row>
    <row r="307" spans="1:63">
      <c r="A307" s="25"/>
      <c r="B307" s="25"/>
      <c r="C307" s="52"/>
      <c r="D307" s="42"/>
      <c r="E307" s="42"/>
      <c r="F307" s="42"/>
    </row>
    <row r="308" spans="1:63">
      <c r="A308" s="25"/>
      <c r="B308" s="25"/>
      <c r="C308" s="52"/>
      <c r="D308" s="42"/>
      <c r="E308" s="42"/>
      <c r="F308" s="42"/>
    </row>
    <row r="309" spans="1:63" ht="15.75">
      <c r="A309" s="25"/>
      <c r="B309" s="25"/>
      <c r="C309" s="425" t="s">
        <v>1</v>
      </c>
      <c r="D309" s="442">
        <f>SUM(D310:D313)</f>
        <v>27485.617317431177</v>
      </c>
      <c r="E309" s="42"/>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row>
    <row r="310" spans="1:63" ht="15.75">
      <c r="A310" s="25"/>
      <c r="B310" s="25"/>
      <c r="C310" s="427" t="s">
        <v>199</v>
      </c>
      <c r="D310" s="440">
        <f>-SUM(F310:AC310)/1000</f>
        <v>17600</v>
      </c>
      <c r="F310" s="43">
        <f>F6</f>
        <v>-1110000</v>
      </c>
      <c r="G310" s="43">
        <f t="shared" ref="G310:AC310" si="194">G6</f>
        <v>-3630000</v>
      </c>
      <c r="H310" s="43">
        <f t="shared" si="194"/>
        <v>-4543333.3333333302</v>
      </c>
      <c r="I310" s="43">
        <f t="shared" si="194"/>
        <v>-6620625</v>
      </c>
      <c r="J310" s="43">
        <f t="shared" si="194"/>
        <v>-1696041.66666667</v>
      </c>
      <c r="K310" s="43">
        <f t="shared" si="194"/>
        <v>0</v>
      </c>
      <c r="L310" s="43">
        <f t="shared" si="194"/>
        <v>0</v>
      </c>
      <c r="M310" s="43">
        <f t="shared" si="194"/>
        <v>0</v>
      </c>
      <c r="N310" s="43">
        <f t="shared" si="194"/>
        <v>0</v>
      </c>
      <c r="O310" s="43">
        <f t="shared" si="194"/>
        <v>0</v>
      </c>
      <c r="P310" s="43">
        <f t="shared" si="194"/>
        <v>0</v>
      </c>
      <c r="Q310" s="43">
        <f t="shared" si="194"/>
        <v>0</v>
      </c>
      <c r="R310" s="43">
        <f t="shared" si="194"/>
        <v>0</v>
      </c>
      <c r="S310" s="43">
        <f t="shared" si="194"/>
        <v>0</v>
      </c>
      <c r="T310" s="43">
        <f t="shared" si="194"/>
        <v>0</v>
      </c>
      <c r="U310" s="43">
        <f t="shared" si="194"/>
        <v>0</v>
      </c>
      <c r="V310" s="43">
        <f t="shared" si="194"/>
        <v>0</v>
      </c>
      <c r="W310" s="43">
        <f t="shared" si="194"/>
        <v>0</v>
      </c>
      <c r="X310" s="43">
        <f t="shared" si="194"/>
        <v>0</v>
      </c>
      <c r="Y310" s="43">
        <f t="shared" si="194"/>
        <v>0</v>
      </c>
      <c r="Z310" s="43">
        <f t="shared" si="194"/>
        <v>0</v>
      </c>
      <c r="AA310" s="43">
        <f t="shared" si="194"/>
        <v>0</v>
      </c>
      <c r="AB310" s="43">
        <f t="shared" si="194"/>
        <v>0</v>
      </c>
      <c r="AC310" s="43">
        <f t="shared" si="194"/>
        <v>0</v>
      </c>
      <c r="AG310" s="95"/>
      <c r="AH310" s="95"/>
    </row>
    <row r="311" spans="1:63" ht="15.75">
      <c r="A311" s="25"/>
      <c r="B311" s="25"/>
      <c r="C311" s="427" t="s">
        <v>200</v>
      </c>
      <c r="D311" s="440">
        <f>-SUM(F311:AC311)/1000</f>
        <v>1848</v>
      </c>
      <c r="E311" s="42"/>
      <c r="F311" s="43">
        <f>F5</f>
        <v>0</v>
      </c>
      <c r="G311" s="43">
        <f t="shared" ref="G311:AC311" si="195">G5</f>
        <v>0</v>
      </c>
      <c r="H311" s="43">
        <f t="shared" si="195"/>
        <v>0</v>
      </c>
      <c r="I311" s="43">
        <f t="shared" si="195"/>
        <v>0</v>
      </c>
      <c r="J311" s="43">
        <f t="shared" si="195"/>
        <v>-92400</v>
      </c>
      <c r="K311" s="43">
        <f t="shared" si="195"/>
        <v>-92400</v>
      </c>
      <c r="L311" s="43">
        <f t="shared" si="195"/>
        <v>-92400</v>
      </c>
      <c r="M311" s="43">
        <f t="shared" si="195"/>
        <v>-92400</v>
      </c>
      <c r="N311" s="43">
        <f t="shared" si="195"/>
        <v>-92400</v>
      </c>
      <c r="O311" s="43">
        <f t="shared" si="195"/>
        <v>-92400</v>
      </c>
      <c r="P311" s="43">
        <f t="shared" si="195"/>
        <v>-92400</v>
      </c>
      <c r="Q311" s="43">
        <f t="shared" si="195"/>
        <v>-92400</v>
      </c>
      <c r="R311" s="43">
        <f t="shared" si="195"/>
        <v>-92400</v>
      </c>
      <c r="S311" s="43">
        <f t="shared" si="195"/>
        <v>-92400</v>
      </c>
      <c r="T311" s="43">
        <f t="shared" si="195"/>
        <v>-92400</v>
      </c>
      <c r="U311" s="43">
        <f t="shared" si="195"/>
        <v>-92400</v>
      </c>
      <c r="V311" s="43">
        <f t="shared" si="195"/>
        <v>-92400</v>
      </c>
      <c r="W311" s="43">
        <f t="shared" si="195"/>
        <v>-92400</v>
      </c>
      <c r="X311" s="43">
        <f t="shared" si="195"/>
        <v>-92400</v>
      </c>
      <c r="Y311" s="43">
        <f t="shared" si="195"/>
        <v>-92400</v>
      </c>
      <c r="Z311" s="43">
        <f t="shared" si="195"/>
        <v>-92400</v>
      </c>
      <c r="AA311" s="43">
        <f t="shared" si="195"/>
        <v>-92400</v>
      </c>
      <c r="AB311" s="43">
        <f t="shared" si="195"/>
        <v>-92400</v>
      </c>
      <c r="AC311" s="43">
        <f t="shared" si="195"/>
        <v>-92400</v>
      </c>
      <c r="AG311" s="95"/>
      <c r="AH311" s="95"/>
    </row>
    <row r="312" spans="1:63" ht="15.75">
      <c r="A312" s="25"/>
      <c r="B312" s="25"/>
      <c r="C312" s="428" t="s">
        <v>563</v>
      </c>
      <c r="D312" s="440">
        <f>-SUM(F312:AC312)/1000</f>
        <v>599.39929687500012</v>
      </c>
      <c r="E312" s="42"/>
      <c r="F312" s="43">
        <f>F217</f>
        <v>0</v>
      </c>
      <c r="G312" s="43">
        <f t="shared" ref="G312:AC312" si="196">G217</f>
        <v>0</v>
      </c>
      <c r="H312" s="43">
        <f t="shared" si="196"/>
        <v>-239759.71875000003</v>
      </c>
      <c r="I312" s="43">
        <f t="shared" si="196"/>
        <v>-359639.57812500006</v>
      </c>
      <c r="J312" s="43">
        <f t="shared" si="196"/>
        <v>0</v>
      </c>
      <c r="K312" s="43">
        <f t="shared" si="196"/>
        <v>0</v>
      </c>
      <c r="L312" s="43">
        <f t="shared" si="196"/>
        <v>0</v>
      </c>
      <c r="M312" s="43">
        <f t="shared" si="196"/>
        <v>0</v>
      </c>
      <c r="N312" s="43">
        <f t="shared" si="196"/>
        <v>0</v>
      </c>
      <c r="O312" s="43">
        <f t="shared" si="196"/>
        <v>0</v>
      </c>
      <c r="P312" s="43">
        <f t="shared" si="196"/>
        <v>0</v>
      </c>
      <c r="Q312" s="43">
        <f t="shared" si="196"/>
        <v>0</v>
      </c>
      <c r="R312" s="43">
        <f t="shared" si="196"/>
        <v>0</v>
      </c>
      <c r="S312" s="43">
        <f t="shared" si="196"/>
        <v>0</v>
      </c>
      <c r="T312" s="43">
        <f t="shared" si="196"/>
        <v>0</v>
      </c>
      <c r="U312" s="43">
        <f t="shared" si="196"/>
        <v>0</v>
      </c>
      <c r="V312" s="43">
        <f t="shared" si="196"/>
        <v>0</v>
      </c>
      <c r="W312" s="43">
        <f t="shared" si="196"/>
        <v>0</v>
      </c>
      <c r="X312" s="43">
        <f t="shared" si="196"/>
        <v>0</v>
      </c>
      <c r="Y312" s="43">
        <f t="shared" si="196"/>
        <v>0</v>
      </c>
      <c r="Z312" s="43">
        <f t="shared" si="196"/>
        <v>0</v>
      </c>
      <c r="AA312" s="43">
        <f t="shared" si="196"/>
        <v>0</v>
      </c>
      <c r="AB312" s="43">
        <f t="shared" si="196"/>
        <v>0</v>
      </c>
      <c r="AC312" s="43">
        <f t="shared" si="196"/>
        <v>0</v>
      </c>
      <c r="AG312" s="95"/>
      <c r="AH312" s="95"/>
    </row>
    <row r="313" spans="1:63" ht="15.75">
      <c r="A313" s="25"/>
      <c r="B313" s="25"/>
      <c r="C313" s="427" t="s">
        <v>201</v>
      </c>
      <c r="D313" s="440">
        <f>-SUM(F313:AC313)/1000</f>
        <v>7438.2180205561799</v>
      </c>
      <c r="E313" s="43"/>
      <c r="F313" s="43">
        <f t="shared" ref="F313:AC313" si="197">F254+F256+F260+F262</f>
        <v>0</v>
      </c>
      <c r="G313" s="43">
        <f t="shared" si="197"/>
        <v>0</v>
      </c>
      <c r="H313" s="43">
        <f t="shared" si="197"/>
        <v>0</v>
      </c>
      <c r="I313" s="43">
        <f t="shared" si="197"/>
        <v>0</v>
      </c>
      <c r="J313" s="43">
        <f t="shared" si="197"/>
        <v>-252212.13444568054</v>
      </c>
      <c r="K313" s="43">
        <f t="shared" si="197"/>
        <v>-344839.89232170826</v>
      </c>
      <c r="L313" s="43">
        <f t="shared" si="197"/>
        <v>-349308.95750533475</v>
      </c>
      <c r="M313" s="43">
        <f t="shared" si="197"/>
        <v>-353860.70253900997</v>
      </c>
      <c r="N313" s="43">
        <f t="shared" si="197"/>
        <v>-358497.36817919178</v>
      </c>
      <c r="O313" s="43">
        <f t="shared" si="197"/>
        <v>-361694.88864347513</v>
      </c>
      <c r="P313" s="43">
        <f t="shared" si="197"/>
        <v>-364924.0975970205</v>
      </c>
      <c r="Q313" s="43">
        <f t="shared" si="197"/>
        <v>-368185.31171255093</v>
      </c>
      <c r="R313" s="43">
        <f t="shared" si="197"/>
        <v>-371478.8508293599</v>
      </c>
      <c r="S313" s="43">
        <f t="shared" si="197"/>
        <v>-374805.03798497672</v>
      </c>
      <c r="T313" s="43">
        <f t="shared" si="197"/>
        <v>-378164.19944714871</v>
      </c>
      <c r="U313" s="43">
        <f t="shared" si="197"/>
        <v>-381556.66474614339</v>
      </c>
      <c r="V313" s="43">
        <f t="shared" si="197"/>
        <v>-384982.76670737338</v>
      </c>
      <c r="W313" s="43">
        <f t="shared" si="197"/>
        <v>-388442.84148434771</v>
      </c>
      <c r="X313" s="43">
        <f t="shared" si="197"/>
        <v>-391937.22859195329</v>
      </c>
      <c r="Y313" s="43">
        <f t="shared" si="197"/>
        <v>-395466.27094006754</v>
      </c>
      <c r="Z313" s="43">
        <f t="shared" si="197"/>
        <v>-399030.31486750895</v>
      </c>
      <c r="AA313" s="43">
        <f t="shared" si="197"/>
        <v>-402629.7101763261</v>
      </c>
      <c r="AB313" s="43">
        <f t="shared" si="197"/>
        <v>-406264.8101664299</v>
      </c>
      <c r="AC313" s="43">
        <f t="shared" si="197"/>
        <v>-409935.97167057218</v>
      </c>
    </row>
    <row r="314" spans="1:63" ht="15.75">
      <c r="A314" s="25"/>
      <c r="B314" s="25"/>
      <c r="C314" s="426"/>
      <c r="D314" s="441"/>
      <c r="F314" s="438">
        <f>SUM(F310:F313)</f>
        <v>-1110000</v>
      </c>
      <c r="G314" s="438">
        <f t="shared" ref="G314" si="198">SUM(G310:G313)</f>
        <v>-3630000</v>
      </c>
      <c r="H314" s="438">
        <f t="shared" ref="H314" si="199">SUM(H310:H313)</f>
        <v>-4783093.0520833302</v>
      </c>
      <c r="I314" s="438">
        <f t="shared" ref="I314" si="200">SUM(I310:I313)</f>
        <v>-6980264.578125</v>
      </c>
      <c r="J314" s="438">
        <f t="shared" ref="J314" si="201">SUM(J310:J313)</f>
        <v>-2040653.8011123505</v>
      </c>
      <c r="K314" s="438">
        <f t="shared" ref="K314" si="202">SUM(K310:K313)</f>
        <v>-437239.89232170826</v>
      </c>
      <c r="L314" s="438">
        <f t="shared" ref="L314" si="203">SUM(L310:L313)</f>
        <v>-441708.95750533475</v>
      </c>
      <c r="M314" s="438">
        <f t="shared" ref="M314" si="204">SUM(M310:M313)</f>
        <v>-446260.70253900997</v>
      </c>
      <c r="N314" s="438">
        <f t="shared" ref="N314" si="205">SUM(N310:N313)</f>
        <v>-450897.36817919178</v>
      </c>
      <c r="O314" s="438">
        <f t="shared" ref="O314" si="206">SUM(O310:O313)</f>
        <v>-454094.88864347513</v>
      </c>
      <c r="P314" s="438">
        <f t="shared" ref="P314" si="207">SUM(P310:P313)</f>
        <v>-457324.0975970205</v>
      </c>
      <c r="Q314" s="438">
        <f t="shared" ref="Q314" si="208">SUM(Q310:Q313)</f>
        <v>-460585.31171255093</v>
      </c>
      <c r="R314" s="438">
        <f t="shared" ref="R314" si="209">SUM(R310:R313)</f>
        <v>-463878.8508293599</v>
      </c>
      <c r="S314" s="438">
        <f t="shared" ref="S314" si="210">SUM(S310:S313)</f>
        <v>-467205.03798497672</v>
      </c>
      <c r="T314" s="438">
        <f t="shared" ref="T314" si="211">SUM(T310:T313)</f>
        <v>-470564.19944714871</v>
      </c>
      <c r="U314" s="438">
        <f t="shared" ref="U314" si="212">SUM(U310:U313)</f>
        <v>-473956.66474614339</v>
      </c>
      <c r="V314" s="438">
        <f t="shared" ref="V314" si="213">SUM(V310:V313)</f>
        <v>-477382.76670737338</v>
      </c>
      <c r="W314" s="438">
        <f t="shared" ref="W314" si="214">SUM(W310:W313)</f>
        <v>-480842.84148434771</v>
      </c>
      <c r="X314" s="438">
        <f t="shared" ref="X314" si="215">SUM(X310:X313)</f>
        <v>-484337.22859195329</v>
      </c>
      <c r="Y314" s="438">
        <f t="shared" ref="Y314" si="216">SUM(Y310:Y313)</f>
        <v>-487866.27094006754</v>
      </c>
      <c r="Z314" s="438">
        <f t="shared" ref="Z314" si="217">SUM(Z310:Z313)</f>
        <v>-491430.31486750895</v>
      </c>
      <c r="AA314" s="438">
        <f t="shared" ref="AA314" si="218">SUM(AA310:AA313)</f>
        <v>-495029.7101763261</v>
      </c>
      <c r="AB314" s="438">
        <f t="shared" ref="AB314" si="219">SUM(AB310:AB313)</f>
        <v>-498664.8101664299</v>
      </c>
      <c r="AC314" s="438">
        <f>SUM(AC310:AC313)+BK296*1000000</f>
        <v>-19771713.62041834</v>
      </c>
    </row>
    <row r="315" spans="1:63" ht="15.75">
      <c r="A315" s="25"/>
      <c r="B315" s="25"/>
      <c r="C315" s="425" t="s">
        <v>0</v>
      </c>
      <c r="D315" s="442">
        <f>SUM(D316:D322)</f>
        <v>35117.186135258024</v>
      </c>
      <c r="G315" s="25"/>
      <c r="H315" s="25"/>
      <c r="I315" s="25"/>
      <c r="J315" s="25"/>
      <c r="K315" s="25"/>
      <c r="L315" s="25"/>
      <c r="M315" s="25"/>
      <c r="N315" s="25"/>
      <c r="O315" s="25"/>
      <c r="P315" s="25"/>
      <c r="Q315" s="25"/>
      <c r="R315" s="25"/>
      <c r="S315" s="25"/>
      <c r="T315" s="25"/>
      <c r="U315" s="25"/>
      <c r="V315" s="25"/>
      <c r="W315" s="25"/>
      <c r="X315" s="25"/>
      <c r="Y315" s="25"/>
      <c r="Z315" s="25"/>
      <c r="AA315" s="25"/>
      <c r="AB315" s="25"/>
      <c r="AC315" s="25"/>
    </row>
    <row r="316" spans="1:63" ht="15.75">
      <c r="A316" s="25"/>
      <c r="B316" s="25"/>
      <c r="C316" s="427" t="s">
        <v>599</v>
      </c>
      <c r="D316" s="440">
        <f t="shared" ref="D316:D322" si="220">SUM(F316:AC316)/1000</f>
        <v>2994.0611263671908</v>
      </c>
      <c r="F316" s="429">
        <f>F59+F71+F85+F98+F132+F153+F165</f>
        <v>0</v>
      </c>
      <c r="G316" s="429">
        <f t="shared" ref="G316:AC316" si="221">G59+G71+G85+G98+G132+G153+G165</f>
        <v>0</v>
      </c>
      <c r="H316" s="429">
        <f t="shared" si="221"/>
        <v>0</v>
      </c>
      <c r="I316" s="429">
        <f t="shared" si="221"/>
        <v>0</v>
      </c>
      <c r="J316" s="429">
        <f t="shared" si="221"/>
        <v>97015.52157550909</v>
      </c>
      <c r="K316" s="429">
        <f t="shared" si="221"/>
        <v>134743.20615772871</v>
      </c>
      <c r="L316" s="429">
        <f t="shared" si="221"/>
        <v>140693.44166201891</v>
      </c>
      <c r="M316" s="429">
        <f t="shared" si="221"/>
        <v>146881.6675995698</v>
      </c>
      <c r="N316" s="429">
        <f t="shared" si="221"/>
        <v>153317.25480624661</v>
      </c>
      <c r="O316" s="429">
        <f t="shared" si="221"/>
        <v>153493.23862949971</v>
      </c>
      <c r="P316" s="429">
        <f t="shared" si="221"/>
        <v>153670.09575589054</v>
      </c>
      <c r="Q316" s="429">
        <f t="shared" si="221"/>
        <v>153847.84892274413</v>
      </c>
      <c r="R316" s="429">
        <f t="shared" si="221"/>
        <v>154026.52146263092</v>
      </c>
      <c r="S316" s="429">
        <f t="shared" si="221"/>
        <v>154206.13731805142</v>
      </c>
      <c r="T316" s="429">
        <f t="shared" si="221"/>
        <v>154386.72105649146</v>
      </c>
      <c r="U316" s="429">
        <f t="shared" si="221"/>
        <v>154568.29788585723</v>
      </c>
      <c r="V316" s="429">
        <f t="shared" si="221"/>
        <v>154750.89367030028</v>
      </c>
      <c r="W316" s="429">
        <f t="shared" si="221"/>
        <v>154934.53494644345</v>
      </c>
      <c r="X316" s="429">
        <f t="shared" si="221"/>
        <v>155119.24894001841</v>
      </c>
      <c r="Y316" s="429">
        <f t="shared" si="221"/>
        <v>155305.06358292664</v>
      </c>
      <c r="Z316" s="429">
        <f t="shared" si="221"/>
        <v>155492.00753073394</v>
      </c>
      <c r="AA316" s="429">
        <f t="shared" si="221"/>
        <v>155680.11018061242</v>
      </c>
      <c r="AB316" s="429">
        <f t="shared" si="221"/>
        <v>155869.40168974077</v>
      </c>
      <c r="AC316" s="429">
        <f t="shared" si="221"/>
        <v>156059.91299417595</v>
      </c>
      <c r="AG316" s="95"/>
    </row>
    <row r="317" spans="1:63" ht="15.75">
      <c r="A317" s="25"/>
      <c r="B317" s="25"/>
      <c r="C317" s="427" t="s">
        <v>600</v>
      </c>
      <c r="D317" s="440">
        <f t="shared" si="220"/>
        <v>6540.8593061003003</v>
      </c>
      <c r="F317" s="346">
        <f>F78+F105+F145+F172</f>
        <v>0</v>
      </c>
      <c r="G317" s="346">
        <f t="shared" ref="G317:AC317" si="222">G78+G105+G145+G172</f>
        <v>0</v>
      </c>
      <c r="H317" s="346">
        <f t="shared" si="222"/>
        <v>0</v>
      </c>
      <c r="I317" s="346">
        <f t="shared" si="222"/>
        <v>0</v>
      </c>
      <c r="J317" s="346">
        <f t="shared" si="222"/>
        <v>220829.2610883681</v>
      </c>
      <c r="K317" s="346">
        <f t="shared" si="222"/>
        <v>302620.41765913548</v>
      </c>
      <c r="L317" s="346">
        <f t="shared" si="222"/>
        <v>308015.08214734198</v>
      </c>
      <c r="M317" s="346">
        <f t="shared" si="222"/>
        <v>313551.84737322887</v>
      </c>
      <c r="N317" s="346">
        <f t="shared" si="222"/>
        <v>319235.41543950688</v>
      </c>
      <c r="O317" s="346">
        <f t="shared" si="222"/>
        <v>321528.68278769316</v>
      </c>
      <c r="P317" s="346">
        <f t="shared" si="222"/>
        <v>323844.21748512483</v>
      </c>
      <c r="Q317" s="346">
        <f t="shared" si="222"/>
        <v>326182.24171295424</v>
      </c>
      <c r="R317" s="346">
        <f t="shared" si="222"/>
        <v>328542.97987378109</v>
      </c>
      <c r="S317" s="346">
        <f t="shared" si="222"/>
        <v>330926.65861386666</v>
      </c>
      <c r="T317" s="346">
        <f t="shared" si="222"/>
        <v>333333.50684556959</v>
      </c>
      <c r="U317" s="346">
        <f t="shared" si="222"/>
        <v>335763.75577000726</v>
      </c>
      <c r="V317" s="346">
        <f t="shared" si="222"/>
        <v>338217.6388999428</v>
      </c>
      <c r="W317" s="346">
        <f t="shared" si="222"/>
        <v>340695.39208290109</v>
      </c>
      <c r="X317" s="346">
        <f t="shared" si="222"/>
        <v>343197.25352451653</v>
      </c>
      <c r="Y317" s="346">
        <f t="shared" si="222"/>
        <v>345723.46381211351</v>
      </c>
      <c r="Z317" s="346">
        <f t="shared" si="222"/>
        <v>348274.26593852323</v>
      </c>
      <c r="AA317" s="346">
        <f t="shared" si="222"/>
        <v>350849.90532613831</v>
      </c>
      <c r="AB317" s="346">
        <f t="shared" si="222"/>
        <v>353450.62985120848</v>
      </c>
      <c r="AC317" s="346">
        <f t="shared" si="222"/>
        <v>356076.68986837845</v>
      </c>
    </row>
    <row r="318" spans="1:63" ht="15.75">
      <c r="A318" s="25"/>
      <c r="B318" s="25"/>
      <c r="C318" s="427" t="s">
        <v>202</v>
      </c>
      <c r="D318" s="440">
        <f t="shared" si="220"/>
        <v>5145.5951298091968</v>
      </c>
      <c r="F318" s="255">
        <f>F206</f>
        <v>0</v>
      </c>
      <c r="G318" s="255">
        <f t="shared" ref="G318:AC318" si="223">G206</f>
        <v>0</v>
      </c>
      <c r="H318" s="255">
        <f t="shared" si="223"/>
        <v>0</v>
      </c>
      <c r="I318" s="255">
        <f t="shared" si="223"/>
        <v>0</v>
      </c>
      <c r="J318" s="255">
        <f t="shared" si="223"/>
        <v>172523.71366752178</v>
      </c>
      <c r="K318" s="255">
        <f t="shared" si="223"/>
        <v>235904.75404664708</v>
      </c>
      <c r="L318" s="255">
        <f t="shared" si="223"/>
        <v>238660.98698021166</v>
      </c>
      <c r="M318" s="255">
        <f t="shared" si="223"/>
        <v>241459.32687251345</v>
      </c>
      <c r="N318" s="255">
        <f t="shared" si="223"/>
        <v>244300.84743792569</v>
      </c>
      <c r="O318" s="255">
        <f t="shared" si="223"/>
        <v>247052.0606500835</v>
      </c>
      <c r="P318" s="255">
        <f t="shared" si="223"/>
        <v>249834.29407676699</v>
      </c>
      <c r="Q318" s="255">
        <f t="shared" si="223"/>
        <v>252647.92801959053</v>
      </c>
      <c r="R318" s="255">
        <f t="shared" si="223"/>
        <v>255493.34805124695</v>
      </c>
      <c r="S318" s="255">
        <f t="shared" si="223"/>
        <v>258370.94510173713</v>
      </c>
      <c r="T318" s="255">
        <f t="shared" si="223"/>
        <v>261281.11554630892</v>
      </c>
      <c r="U318" s="255">
        <f t="shared" si="223"/>
        <v>264224.26129514899</v>
      </c>
      <c r="V318" s="255">
        <f t="shared" si="223"/>
        <v>267200.78988486755</v>
      </c>
      <c r="W318" s="255">
        <f t="shared" si="223"/>
        <v>270211.11457182025</v>
      </c>
      <c r="X318" s="255">
        <f t="shared" si="223"/>
        <v>273255.65442731237</v>
      </c>
      <c r="Y318" s="255">
        <f t="shared" si="223"/>
        <v>276334.83443472936</v>
      </c>
      <c r="Z318" s="255">
        <f t="shared" si="223"/>
        <v>279449.08558864321</v>
      </c>
      <c r="AA318" s="255">
        <f t="shared" si="223"/>
        <v>282598.84499594109</v>
      </c>
      <c r="AB318" s="255">
        <f t="shared" si="223"/>
        <v>285784.55597902799</v>
      </c>
      <c r="AC318" s="255">
        <f t="shared" si="223"/>
        <v>289006.66818115307</v>
      </c>
    </row>
    <row r="319" spans="1:63" ht="15.75">
      <c r="A319" s="25"/>
      <c r="B319" s="25"/>
      <c r="C319" s="427" t="s">
        <v>203</v>
      </c>
      <c r="D319" s="440">
        <f t="shared" si="220"/>
        <v>6031.8598714792215</v>
      </c>
      <c r="F319" s="430">
        <f>F219-F217</f>
        <v>0</v>
      </c>
      <c r="G319" s="430">
        <f t="shared" ref="G319:AC319" si="224">G219-G217</f>
        <v>0</v>
      </c>
      <c r="H319" s="430">
        <f t="shared" si="224"/>
        <v>0</v>
      </c>
      <c r="I319" s="430">
        <f t="shared" si="224"/>
        <v>0</v>
      </c>
      <c r="J319" s="430">
        <f t="shared" si="224"/>
        <v>296691.54508692614</v>
      </c>
      <c r="K319" s="430">
        <f t="shared" si="224"/>
        <v>300458.05865817511</v>
      </c>
      <c r="L319" s="430">
        <f t="shared" si="224"/>
        <v>300735.16163876746</v>
      </c>
      <c r="M319" s="430">
        <f t="shared" si="224"/>
        <v>301020.17634996719</v>
      </c>
      <c r="N319" s="430">
        <f t="shared" si="224"/>
        <v>301313.37324596429</v>
      </c>
      <c r="O319" s="430">
        <f t="shared" si="224"/>
        <v>301408.4825520392</v>
      </c>
      <c r="P319" s="430">
        <f t="shared" si="224"/>
        <v>301504.50415283075</v>
      </c>
      <c r="Q319" s="430">
        <f t="shared" si="224"/>
        <v>301601.44714257511</v>
      </c>
      <c r="R319" s="430">
        <f t="shared" si="224"/>
        <v>301699.32070642995</v>
      </c>
      <c r="S319" s="430">
        <f t="shared" si="224"/>
        <v>301798.13412138307</v>
      </c>
      <c r="T319" s="430">
        <f t="shared" si="224"/>
        <v>301897.89675717091</v>
      </c>
      <c r="U319" s="430">
        <f t="shared" si="224"/>
        <v>301998.61807720584</v>
      </c>
      <c r="V319" s="430">
        <f t="shared" si="224"/>
        <v>302100.30763951322</v>
      </c>
      <c r="W319" s="430">
        <f t="shared" si="224"/>
        <v>302202.97509767744</v>
      </c>
      <c r="X319" s="430">
        <f t="shared" si="224"/>
        <v>302306.63020179706</v>
      </c>
      <c r="Y319" s="430">
        <f t="shared" si="224"/>
        <v>302411.28279945051</v>
      </c>
      <c r="Z319" s="430">
        <f t="shared" si="224"/>
        <v>302516.94283667061</v>
      </c>
      <c r="AA319" s="430">
        <f t="shared" si="224"/>
        <v>302623.62035892898</v>
      </c>
      <c r="AB319" s="430">
        <f t="shared" si="224"/>
        <v>302731.32551213074</v>
      </c>
      <c r="AC319" s="430">
        <f t="shared" si="224"/>
        <v>302840.06854361854</v>
      </c>
    </row>
    <row r="320" spans="1:63" ht="15.75">
      <c r="A320" s="25"/>
      <c r="B320" s="25"/>
      <c r="C320" s="427" t="s">
        <v>204</v>
      </c>
      <c r="D320" s="440">
        <f t="shared" si="220"/>
        <v>1194.6152230056334</v>
      </c>
      <c r="F320" s="255">
        <f>F237+F222</f>
        <v>0</v>
      </c>
      <c r="G320" s="255">
        <f t="shared" ref="G320:AC320" si="225">G237+G222</f>
        <v>0</v>
      </c>
      <c r="H320" s="255">
        <f t="shared" si="225"/>
        <v>0</v>
      </c>
      <c r="I320" s="255">
        <f t="shared" si="225"/>
        <v>0</v>
      </c>
      <c r="J320" s="255">
        <f t="shared" si="225"/>
        <v>50039.808762386521</v>
      </c>
      <c r="K320" s="255">
        <f t="shared" si="225"/>
        <v>65707.239222775519</v>
      </c>
      <c r="L320" s="255">
        <f t="shared" si="225"/>
        <v>64058.43336210808</v>
      </c>
      <c r="M320" s="255">
        <f t="shared" si="225"/>
        <v>62363.337111202127</v>
      </c>
      <c r="N320" s="255">
        <f t="shared" si="225"/>
        <v>61415.807286724303</v>
      </c>
      <c r="O320" s="255">
        <f t="shared" si="225"/>
        <v>59591.22276878346</v>
      </c>
      <c r="P320" s="255">
        <f t="shared" si="225"/>
        <v>59530.111394631414</v>
      </c>
      <c r="Q320" s="255">
        <f t="shared" si="225"/>
        <v>59466.89399327607</v>
      </c>
      <c r="R320" s="255">
        <f t="shared" si="225"/>
        <v>59401.523828893696</v>
      </c>
      <c r="S320" s="255">
        <f t="shared" si="225"/>
        <v>59333.953424853258</v>
      </c>
      <c r="T320" s="255">
        <f t="shared" si="225"/>
        <v>59264.134553561264</v>
      </c>
      <c r="U320" s="255">
        <f t="shared" si="225"/>
        <v>59192.018226178247</v>
      </c>
      <c r="V320" s="255">
        <f t="shared" si="225"/>
        <v>59117.554682204376</v>
      </c>
      <c r="W320" s="255">
        <f t="shared" si="225"/>
        <v>59040.693378932992</v>
      </c>
      <c r="X320" s="255">
        <f t="shared" si="225"/>
        <v>58961.382980770708</v>
      </c>
      <c r="Y320" s="255">
        <f t="shared" si="225"/>
        <v>58879.571348421799</v>
      </c>
      <c r="Z320" s="255">
        <f t="shared" si="225"/>
        <v>59249.381354621881</v>
      </c>
      <c r="AA320" s="255">
        <f t="shared" si="225"/>
        <v>59622.689614760864</v>
      </c>
      <c r="AB320" s="255">
        <f t="shared" si="225"/>
        <v>59999.529800695324</v>
      </c>
      <c r="AC320" s="255">
        <f t="shared" si="225"/>
        <v>60379.935909851411</v>
      </c>
    </row>
    <row r="321" spans="1:30" ht="15.75">
      <c r="A321" s="36"/>
      <c r="B321" s="36"/>
      <c r="C321" s="427" t="s">
        <v>601</v>
      </c>
      <c r="D321" s="440">
        <f t="shared" si="220"/>
        <v>17.412929065019888</v>
      </c>
      <c r="F321" s="255">
        <f>F242</f>
        <v>0</v>
      </c>
      <c r="G321" s="255">
        <f t="shared" ref="G321:AC321" si="226">G242</f>
        <v>0</v>
      </c>
      <c r="H321" s="255">
        <f t="shared" si="226"/>
        <v>0</v>
      </c>
      <c r="I321" s="255">
        <f t="shared" si="226"/>
        <v>0</v>
      </c>
      <c r="J321" s="255">
        <f t="shared" si="226"/>
        <v>591.87990868925692</v>
      </c>
      <c r="K321" s="255">
        <f t="shared" si="226"/>
        <v>808.2093909742689</v>
      </c>
      <c r="L321" s="255">
        <f t="shared" si="226"/>
        <v>816.45007062351101</v>
      </c>
      <c r="M321" s="255">
        <f t="shared" si="226"/>
        <v>824.77905963046965</v>
      </c>
      <c r="N321" s="255">
        <f t="shared" si="226"/>
        <v>833.19746078205083</v>
      </c>
      <c r="O321" s="255">
        <f t="shared" si="226"/>
        <v>841.46923495276133</v>
      </c>
      <c r="P321" s="255">
        <f t="shared" si="226"/>
        <v>849.82368231685564</v>
      </c>
      <c r="Q321" s="255">
        <f t="shared" si="226"/>
        <v>858.26162957330178</v>
      </c>
      <c r="R321" s="255">
        <f t="shared" si="226"/>
        <v>866.78391168803273</v>
      </c>
      <c r="S321" s="255">
        <f t="shared" si="226"/>
        <v>875.39137197661717</v>
      </c>
      <c r="T321" s="255">
        <f t="shared" si="226"/>
        <v>884.08486218775442</v>
      </c>
      <c r="U321" s="255">
        <f t="shared" si="226"/>
        <v>892.86524258760664</v>
      </c>
      <c r="V321" s="255">
        <f t="shared" si="226"/>
        <v>901.73338204497338</v>
      </c>
      <c r="W321" s="255">
        <f t="shared" si="226"/>
        <v>910.69015811731663</v>
      </c>
      <c r="X321" s="255">
        <f t="shared" si="226"/>
        <v>919.73645713765018</v>
      </c>
      <c r="Y321" s="255">
        <f t="shared" si="226"/>
        <v>928.87317430229189</v>
      </c>
      <c r="Z321" s="255">
        <f t="shared" si="226"/>
        <v>938.10121375949882</v>
      </c>
      <c r="AA321" s="255">
        <f t="shared" si="226"/>
        <v>947.42148869898665</v>
      </c>
      <c r="AB321" s="255">
        <f t="shared" si="226"/>
        <v>956.83492144234242</v>
      </c>
      <c r="AC321" s="255">
        <f t="shared" si="226"/>
        <v>966.34244353434565</v>
      </c>
    </row>
    <row r="322" spans="1:30" ht="15.75">
      <c r="A322" s="25"/>
      <c r="B322" s="25"/>
      <c r="C322" s="427" t="s">
        <v>205</v>
      </c>
      <c r="D322" s="440">
        <f t="shared" si="220"/>
        <v>13192.782549431464</v>
      </c>
      <c r="F322" s="346">
        <f t="shared" ref="F322:AC322" si="227">F249+F251+F266+F268+F270</f>
        <v>0</v>
      </c>
      <c r="G322" s="346">
        <f t="shared" si="227"/>
        <v>0</v>
      </c>
      <c r="H322" s="346">
        <f t="shared" si="227"/>
        <v>0</v>
      </c>
      <c r="I322" s="346">
        <f t="shared" si="227"/>
        <v>0</v>
      </c>
      <c r="J322" s="346">
        <f t="shared" si="227"/>
        <v>438668.19879012223</v>
      </c>
      <c r="K322" s="346">
        <f t="shared" si="227"/>
        <v>606024.46297279419</v>
      </c>
      <c r="L322" s="346">
        <f t="shared" si="227"/>
        <v>627236.64915023989</v>
      </c>
      <c r="M322" s="346">
        <f t="shared" si="227"/>
        <v>649224.9124538661</v>
      </c>
      <c r="N322" s="346">
        <f t="shared" si="227"/>
        <v>672018.00406987581</v>
      </c>
      <c r="O322" s="346">
        <f t="shared" si="227"/>
        <v>672986.38380926021</v>
      </c>
      <c r="P322" s="346">
        <f t="shared" si="227"/>
        <v>673960.1910138157</v>
      </c>
      <c r="Q322" s="346">
        <f t="shared" si="227"/>
        <v>674939.47680850781</v>
      </c>
      <c r="R322" s="346">
        <f t="shared" si="227"/>
        <v>675924.29282722145</v>
      </c>
      <c r="S322" s="346">
        <f t="shared" si="227"/>
        <v>676914.69121784775</v>
      </c>
      <c r="T322" s="346">
        <f t="shared" si="227"/>
        <v>677910.72464742209</v>
      </c>
      <c r="U322" s="346">
        <f t="shared" si="227"/>
        <v>678912.44630731549</v>
      </c>
      <c r="V322" s="346">
        <f t="shared" si="227"/>
        <v>679919.9099184738</v>
      </c>
      <c r="W322" s="346">
        <f t="shared" si="227"/>
        <v>680933.16973671282</v>
      </c>
      <c r="X322" s="346">
        <f t="shared" si="227"/>
        <v>681952.28055806668</v>
      </c>
      <c r="Y322" s="346">
        <f t="shared" si="227"/>
        <v>682977.29772418551</v>
      </c>
      <c r="Z322" s="346">
        <f t="shared" si="227"/>
        <v>684008.27712779294</v>
      </c>
      <c r="AA322" s="346">
        <f t="shared" si="227"/>
        <v>685045.27521819132</v>
      </c>
      <c r="AB322" s="346">
        <f t="shared" si="227"/>
        <v>686088.34900683025</v>
      </c>
      <c r="AC322" s="346">
        <f t="shared" si="227"/>
        <v>687137.55607292219</v>
      </c>
    </row>
    <row r="323" spans="1:30" ht="15.75">
      <c r="A323" s="25"/>
      <c r="B323" s="25"/>
      <c r="C323" s="426"/>
      <c r="D323" s="441"/>
      <c r="F323" s="437">
        <f>SUM(F316:F322)</f>
        <v>0</v>
      </c>
      <c r="G323" s="437">
        <f t="shared" ref="G323" si="228">SUM(G316:G322)</f>
        <v>0</v>
      </c>
      <c r="H323" s="437">
        <f t="shared" ref="H323" si="229">SUM(H316:H322)</f>
        <v>0</v>
      </c>
      <c r="I323" s="437">
        <f t="shared" ref="I323" si="230">SUM(I316:I322)</f>
        <v>0</v>
      </c>
      <c r="J323" s="437">
        <f t="shared" ref="J323" si="231">SUM(J316:J322)</f>
        <v>1276359.9288795232</v>
      </c>
      <c r="K323" s="437">
        <f t="shared" ref="K323" si="232">SUM(K316:K322)</f>
        <v>1646266.3481082304</v>
      </c>
      <c r="L323" s="437">
        <f t="shared" ref="L323" si="233">SUM(L316:L322)</f>
        <v>1680216.2050113115</v>
      </c>
      <c r="M323" s="437">
        <f t="shared" ref="M323" si="234">SUM(M316:M322)</f>
        <v>1715326.0468199782</v>
      </c>
      <c r="N323" s="437">
        <f t="shared" ref="N323" si="235">SUM(N316:N322)</f>
        <v>1752433.8997470257</v>
      </c>
      <c r="O323" s="437">
        <f t="shared" ref="O323" si="236">SUM(O316:O322)</f>
        <v>1756901.5404323121</v>
      </c>
      <c r="P323" s="437">
        <f t="shared" ref="P323" si="237">SUM(P316:P322)</f>
        <v>1763193.2375613772</v>
      </c>
      <c r="Q323" s="437">
        <f t="shared" ref="Q323" si="238">SUM(Q316:Q322)</f>
        <v>1769544.0982292215</v>
      </c>
      <c r="R323" s="437">
        <f t="shared" ref="R323" si="239">SUM(R316:R322)</f>
        <v>1775954.7706618919</v>
      </c>
      <c r="S323" s="437">
        <f t="shared" ref="S323" si="240">SUM(S316:S322)</f>
        <v>1782425.9111697157</v>
      </c>
      <c r="T323" s="437">
        <f t="shared" ref="T323" si="241">SUM(T316:T322)</f>
        <v>1788958.1842687118</v>
      </c>
      <c r="U323" s="437">
        <f t="shared" ref="U323" si="242">SUM(U316:U322)</f>
        <v>1795552.2628043008</v>
      </c>
      <c r="V323" s="437">
        <f t="shared" ref="V323" si="243">SUM(V316:V322)</f>
        <v>1802208.828077347</v>
      </c>
      <c r="W323" s="437">
        <f t="shared" ref="W323" si="244">SUM(W316:W322)</f>
        <v>1808928.5699726054</v>
      </c>
      <c r="X323" s="437">
        <f t="shared" ref="X323" si="245">SUM(X316:X322)</f>
        <v>1815712.1870896192</v>
      </c>
      <c r="Y323" s="437">
        <f t="shared" ref="Y323" si="246">SUM(Y316:Y322)</f>
        <v>1822560.3868761295</v>
      </c>
      <c r="Z323" s="437">
        <f t="shared" ref="Z323" si="247">SUM(Z316:Z322)</f>
        <v>1829928.0615907451</v>
      </c>
      <c r="AA323" s="437">
        <f t="shared" ref="AA323" si="248">SUM(AA316:AA322)</f>
        <v>1837367.867183272</v>
      </c>
      <c r="AB323" s="437">
        <f t="shared" ref="AB323" si="249">SUM(AB316:AB322)</f>
        <v>1844880.626761076</v>
      </c>
      <c r="AC323" s="437">
        <f>SUM(AC316:AC322)+BK297*1000000</f>
        <v>60125461.319270186</v>
      </c>
    </row>
    <row r="324" spans="1:30" ht="15.75">
      <c r="A324" s="25"/>
      <c r="B324" s="25"/>
      <c r="C324" s="425" t="s">
        <v>184</v>
      </c>
      <c r="D324" s="442"/>
      <c r="G324" s="25"/>
      <c r="H324" s="25"/>
      <c r="I324" s="25"/>
      <c r="J324" s="25"/>
      <c r="K324" s="25"/>
      <c r="L324" s="25"/>
      <c r="M324" s="25"/>
      <c r="N324" s="25"/>
      <c r="O324" s="25"/>
      <c r="P324" s="25"/>
      <c r="Q324" s="25"/>
      <c r="R324" s="25"/>
      <c r="S324" s="25"/>
      <c r="T324" s="25"/>
      <c r="U324" s="25"/>
      <c r="V324" s="25"/>
      <c r="W324" s="25"/>
      <c r="X324" s="25"/>
      <c r="Y324" s="25"/>
      <c r="Z324" s="25"/>
      <c r="AA324" s="25"/>
      <c r="AB324" s="25"/>
      <c r="AC324" s="25"/>
    </row>
    <row r="325" spans="1:30" ht="15.75">
      <c r="A325" s="25"/>
      <c r="B325" s="25"/>
      <c r="C325" s="425" t="s">
        <v>185</v>
      </c>
      <c r="D325" s="443">
        <f>IRR(F325:AC325)</f>
        <v>8.5549713817914749E-2</v>
      </c>
      <c r="F325" s="439">
        <f>F314+F323</f>
        <v>-1110000</v>
      </c>
      <c r="G325" s="439">
        <f t="shared" ref="G325:AC325" si="250">G314+G323</f>
        <v>-3630000</v>
      </c>
      <c r="H325" s="439">
        <f t="shared" si="250"/>
        <v>-4783093.0520833302</v>
      </c>
      <c r="I325" s="439">
        <f t="shared" si="250"/>
        <v>-6980264.578125</v>
      </c>
      <c r="J325" s="439">
        <f t="shared" si="250"/>
        <v>-764293.87223282736</v>
      </c>
      <c r="K325" s="439">
        <f t="shared" si="250"/>
        <v>1209026.455786522</v>
      </c>
      <c r="L325" s="439">
        <f t="shared" si="250"/>
        <v>1238507.2475059768</v>
      </c>
      <c r="M325" s="439">
        <f t="shared" si="250"/>
        <v>1269065.3442809682</v>
      </c>
      <c r="N325" s="439">
        <f t="shared" si="250"/>
        <v>1301536.5315678339</v>
      </c>
      <c r="O325" s="439">
        <f t="shared" si="250"/>
        <v>1302806.6517888368</v>
      </c>
      <c r="P325" s="439">
        <f t="shared" si="250"/>
        <v>1305869.1399643568</v>
      </c>
      <c r="Q325" s="439">
        <f t="shared" si="250"/>
        <v>1308958.7865166706</v>
      </c>
      <c r="R325" s="439">
        <f t="shared" si="250"/>
        <v>1312075.9198325321</v>
      </c>
      <c r="S325" s="439">
        <f t="shared" si="250"/>
        <v>1315220.8731847389</v>
      </c>
      <c r="T325" s="439">
        <f t="shared" si="250"/>
        <v>1318393.9848215631</v>
      </c>
      <c r="U325" s="439">
        <f t="shared" si="250"/>
        <v>1321595.5980581574</v>
      </c>
      <c r="V325" s="439">
        <f t="shared" si="250"/>
        <v>1324826.0613699737</v>
      </c>
      <c r="W325" s="439">
        <f t="shared" si="250"/>
        <v>1328085.7284882576</v>
      </c>
      <c r="X325" s="439">
        <f t="shared" si="250"/>
        <v>1331374.9584976658</v>
      </c>
      <c r="Y325" s="439">
        <f t="shared" si="250"/>
        <v>1334694.1159360621</v>
      </c>
      <c r="Z325" s="439">
        <f t="shared" si="250"/>
        <v>1338497.7467232361</v>
      </c>
      <c r="AA325" s="439">
        <f t="shared" si="250"/>
        <v>1342338.1570069459</v>
      </c>
      <c r="AB325" s="439">
        <f t="shared" si="250"/>
        <v>1346215.8165946461</v>
      </c>
      <c r="AC325" s="439">
        <f t="shared" si="250"/>
        <v>40353747.698851846</v>
      </c>
    </row>
    <row r="326" spans="1:30" ht="15.75">
      <c r="A326" s="25"/>
      <c r="B326" s="25"/>
      <c r="C326" s="425" t="s">
        <v>186</v>
      </c>
      <c r="D326" s="444">
        <f>SUM(F323:AC323)/-SUM(F314:AC314)</f>
        <v>1.9974375004867397</v>
      </c>
      <c r="F326" s="431">
        <f t="shared" ref="F326:AC326" si="251">F325-F276</f>
        <v>0</v>
      </c>
      <c r="G326" s="431">
        <f t="shared" si="251"/>
        <v>0</v>
      </c>
      <c r="H326" s="431">
        <f t="shared" si="251"/>
        <v>0</v>
      </c>
      <c r="I326" s="431">
        <f t="shared" si="251"/>
        <v>0</v>
      </c>
      <c r="J326" s="431">
        <f t="shared" si="251"/>
        <v>0</v>
      </c>
      <c r="K326" s="431">
        <f t="shared" si="251"/>
        <v>0</v>
      </c>
      <c r="L326" s="431">
        <f t="shared" si="251"/>
        <v>0</v>
      </c>
      <c r="M326" s="431">
        <f t="shared" si="251"/>
        <v>0</v>
      </c>
      <c r="N326" s="431">
        <f t="shared" si="251"/>
        <v>0</v>
      </c>
      <c r="O326" s="431">
        <f t="shared" si="251"/>
        <v>0</v>
      </c>
      <c r="P326" s="431">
        <f t="shared" si="251"/>
        <v>0</v>
      </c>
      <c r="Q326" s="431">
        <f t="shared" si="251"/>
        <v>0</v>
      </c>
      <c r="R326" s="431">
        <f t="shared" si="251"/>
        <v>0</v>
      </c>
      <c r="S326" s="431">
        <f t="shared" si="251"/>
        <v>0</v>
      </c>
      <c r="T326" s="431">
        <f t="shared" si="251"/>
        <v>0</v>
      </c>
      <c r="U326" s="431">
        <f t="shared" si="251"/>
        <v>0</v>
      </c>
      <c r="V326" s="431">
        <f t="shared" si="251"/>
        <v>0</v>
      </c>
      <c r="W326" s="431">
        <f t="shared" si="251"/>
        <v>0</v>
      </c>
      <c r="X326" s="431">
        <f t="shared" si="251"/>
        <v>0</v>
      </c>
      <c r="Y326" s="431">
        <f t="shared" si="251"/>
        <v>0</v>
      </c>
      <c r="Z326" s="431">
        <f t="shared" si="251"/>
        <v>0</v>
      </c>
      <c r="AA326" s="431">
        <f t="shared" si="251"/>
        <v>0</v>
      </c>
      <c r="AB326" s="431">
        <f t="shared" si="251"/>
        <v>0</v>
      </c>
      <c r="AC326" s="42">
        <f t="shared" si="251"/>
        <v>39003616.496508785</v>
      </c>
    </row>
    <row r="327" spans="1:30" ht="18.75" customHeight="1">
      <c r="A327" s="25"/>
      <c r="B327" s="25"/>
      <c r="C327" s="50"/>
      <c r="D327" s="40"/>
      <c r="F327" s="39"/>
    </row>
    <row r="328" spans="1:30">
      <c r="A328" s="25"/>
      <c r="B328" s="25"/>
      <c r="C328" s="50"/>
      <c r="D328" s="25"/>
    </row>
    <row r="329" spans="1:30" ht="14.25">
      <c r="A329" s="25"/>
      <c r="B329" s="25"/>
      <c r="C329" s="436" t="s">
        <v>602</v>
      </c>
      <c r="D329" s="39"/>
      <c r="E329" s="39"/>
    </row>
    <row r="330" spans="1:30" ht="15.75">
      <c r="A330" s="25"/>
      <c r="B330" s="25"/>
      <c r="C330" s="425" t="s">
        <v>1</v>
      </c>
      <c r="D330" s="442">
        <f>SUM(D331:D334)</f>
        <v>22615.218366453431</v>
      </c>
      <c r="E330" s="39"/>
      <c r="F330" s="39"/>
    </row>
    <row r="331" spans="1:30" ht="15.75">
      <c r="A331" s="25"/>
      <c r="B331" s="25"/>
      <c r="C331" s="427" t="s">
        <v>199</v>
      </c>
      <c r="D331" s="440">
        <f>-SUM(F331:AC331)/1000</f>
        <v>16002.446660684369</v>
      </c>
      <c r="E331" s="39"/>
      <c r="F331" s="430">
        <f>F310*F$277</f>
        <v>-1077669.9029126214</v>
      </c>
      <c r="G331" s="430">
        <f t="shared" ref="G331:AC331" si="252">G310*G$277</f>
        <v>-3421623.1501555284</v>
      </c>
      <c r="H331" s="430">
        <f t="shared" si="252"/>
        <v>-4157793.605661185</v>
      </c>
      <c r="I331" s="430">
        <f t="shared" si="252"/>
        <v>-5882339.5616068067</v>
      </c>
      <c r="J331" s="430">
        <f t="shared" si="252"/>
        <v>-1463020.4403482275</v>
      </c>
      <c r="K331" s="430">
        <f t="shared" si="252"/>
        <v>0</v>
      </c>
      <c r="L331" s="430">
        <f t="shared" si="252"/>
        <v>0</v>
      </c>
      <c r="M331" s="430">
        <f t="shared" si="252"/>
        <v>0</v>
      </c>
      <c r="N331" s="430">
        <f t="shared" si="252"/>
        <v>0</v>
      </c>
      <c r="O331" s="430">
        <f t="shared" si="252"/>
        <v>0</v>
      </c>
      <c r="P331" s="430">
        <f t="shared" si="252"/>
        <v>0</v>
      </c>
      <c r="Q331" s="430">
        <f t="shared" si="252"/>
        <v>0</v>
      </c>
      <c r="R331" s="430">
        <f t="shared" si="252"/>
        <v>0</v>
      </c>
      <c r="S331" s="430">
        <f t="shared" si="252"/>
        <v>0</v>
      </c>
      <c r="T331" s="430">
        <f t="shared" si="252"/>
        <v>0</v>
      </c>
      <c r="U331" s="430">
        <f t="shared" si="252"/>
        <v>0</v>
      </c>
      <c r="V331" s="430">
        <f t="shared" si="252"/>
        <v>0</v>
      </c>
      <c r="W331" s="430">
        <f t="shared" si="252"/>
        <v>0</v>
      </c>
      <c r="X331" s="430">
        <f t="shared" si="252"/>
        <v>0</v>
      </c>
      <c r="Y331" s="430">
        <f t="shared" si="252"/>
        <v>0</v>
      </c>
      <c r="Z331" s="430">
        <f t="shared" si="252"/>
        <v>0</v>
      </c>
      <c r="AA331" s="430">
        <f t="shared" si="252"/>
        <v>0</v>
      </c>
      <c r="AB331" s="430">
        <f t="shared" si="252"/>
        <v>0</v>
      </c>
      <c r="AC331" s="430">
        <f t="shared" si="252"/>
        <v>0</v>
      </c>
    </row>
    <row r="332" spans="1:30" ht="15.75">
      <c r="A332" s="25"/>
      <c r="B332" s="25"/>
      <c r="C332" s="427" t="s">
        <v>200</v>
      </c>
      <c r="D332" s="440">
        <f>-SUM(F332:AC332)/1000</f>
        <v>1221.3841996546328</v>
      </c>
      <c r="F332" s="430">
        <f t="shared" ref="F332:AC332" si="253">F311*F$277</f>
        <v>0</v>
      </c>
      <c r="G332" s="430">
        <f t="shared" si="253"/>
        <v>0</v>
      </c>
      <c r="H332" s="430">
        <f t="shared" si="253"/>
        <v>0</v>
      </c>
      <c r="I332" s="430">
        <f t="shared" si="253"/>
        <v>0</v>
      </c>
      <c r="J332" s="430">
        <f t="shared" si="253"/>
        <v>-79705.051677096737</v>
      </c>
      <c r="K332" s="430">
        <f t="shared" si="253"/>
        <v>-77383.545317569646</v>
      </c>
      <c r="L332" s="430">
        <f t="shared" si="253"/>
        <v>-75129.655648125874</v>
      </c>
      <c r="M332" s="430">
        <f t="shared" si="253"/>
        <v>-72941.413250607642</v>
      </c>
      <c r="N332" s="430">
        <f t="shared" si="253"/>
        <v>-70816.906068551107</v>
      </c>
      <c r="O332" s="430">
        <f t="shared" si="253"/>
        <v>-68754.277736457385</v>
      </c>
      <c r="P332" s="430">
        <f t="shared" si="253"/>
        <v>-66751.725957725619</v>
      </c>
      <c r="Q332" s="430">
        <f t="shared" si="253"/>
        <v>-64807.500929830698</v>
      </c>
      <c r="R332" s="430">
        <f t="shared" si="253"/>
        <v>-62919.903815369609</v>
      </c>
      <c r="S332" s="430">
        <f t="shared" si="253"/>
        <v>-61087.285257640397</v>
      </c>
      <c r="T332" s="430">
        <f t="shared" si="253"/>
        <v>-59308.043939456693</v>
      </c>
      <c r="U332" s="430">
        <f t="shared" si="253"/>
        <v>-57580.625183938537</v>
      </c>
      <c r="V332" s="430">
        <f t="shared" si="253"/>
        <v>-55903.519596056831</v>
      </c>
      <c r="W332" s="430">
        <f t="shared" si="253"/>
        <v>-54275.261743744493</v>
      </c>
      <c r="X332" s="430">
        <f t="shared" si="253"/>
        <v>-52694.428877421837</v>
      </c>
      <c r="Y332" s="430">
        <f t="shared" si="253"/>
        <v>-51159.639686817318</v>
      </c>
      <c r="Z332" s="430">
        <f t="shared" si="253"/>
        <v>-49669.553093997398</v>
      </c>
      <c r="AA332" s="430">
        <f t="shared" si="253"/>
        <v>-48222.867081550874</v>
      </c>
      <c r="AB332" s="430">
        <f t="shared" si="253"/>
        <v>-46818.317554903755</v>
      </c>
      <c r="AC332" s="430">
        <f t="shared" si="253"/>
        <v>-45454.677237770637</v>
      </c>
    </row>
    <row r="333" spans="1:30" ht="15.75">
      <c r="A333" s="25"/>
      <c r="B333" s="25"/>
      <c r="C333" s="428" t="s">
        <v>563</v>
      </c>
      <c r="D333" s="440">
        <f>-SUM(F333:AC333)/1000</f>
        <v>538.94921394484686</v>
      </c>
      <c r="F333" s="430">
        <f t="shared" ref="F333:AC333" si="254">F312*F$277</f>
        <v>0</v>
      </c>
      <c r="G333" s="430">
        <f t="shared" si="254"/>
        <v>0</v>
      </c>
      <c r="H333" s="430">
        <f t="shared" si="254"/>
        <v>-219414.10686292185</v>
      </c>
      <c r="I333" s="430">
        <f t="shared" si="254"/>
        <v>-319535.10708192503</v>
      </c>
      <c r="J333" s="430">
        <f t="shared" si="254"/>
        <v>0</v>
      </c>
      <c r="K333" s="430">
        <f t="shared" si="254"/>
        <v>0</v>
      </c>
      <c r="L333" s="430">
        <f t="shared" si="254"/>
        <v>0</v>
      </c>
      <c r="M333" s="430">
        <f t="shared" si="254"/>
        <v>0</v>
      </c>
      <c r="N333" s="430">
        <f t="shared" si="254"/>
        <v>0</v>
      </c>
      <c r="O333" s="430">
        <f t="shared" si="254"/>
        <v>0</v>
      </c>
      <c r="P333" s="430">
        <f t="shared" si="254"/>
        <v>0</v>
      </c>
      <c r="Q333" s="430">
        <f t="shared" si="254"/>
        <v>0</v>
      </c>
      <c r="R333" s="430">
        <f t="shared" si="254"/>
        <v>0</v>
      </c>
      <c r="S333" s="430">
        <f t="shared" si="254"/>
        <v>0</v>
      </c>
      <c r="T333" s="430">
        <f t="shared" si="254"/>
        <v>0</v>
      </c>
      <c r="U333" s="430">
        <f t="shared" si="254"/>
        <v>0</v>
      </c>
      <c r="V333" s="430">
        <f t="shared" si="254"/>
        <v>0</v>
      </c>
      <c r="W333" s="430">
        <f t="shared" si="254"/>
        <v>0</v>
      </c>
      <c r="X333" s="430">
        <f t="shared" si="254"/>
        <v>0</v>
      </c>
      <c r="Y333" s="430">
        <f t="shared" si="254"/>
        <v>0</v>
      </c>
      <c r="Z333" s="430">
        <f t="shared" si="254"/>
        <v>0</v>
      </c>
      <c r="AA333" s="430">
        <f t="shared" si="254"/>
        <v>0</v>
      </c>
      <c r="AB333" s="430">
        <f t="shared" si="254"/>
        <v>0</v>
      </c>
      <c r="AC333" s="430">
        <f t="shared" si="254"/>
        <v>0</v>
      </c>
    </row>
    <row r="334" spans="1:30" ht="15.75">
      <c r="A334" s="25"/>
      <c r="B334" s="25"/>
      <c r="C334" s="427" t="s">
        <v>201</v>
      </c>
      <c r="D334" s="440">
        <f>-SUM(F334:AC334)/1000</f>
        <v>4852.4382921695815</v>
      </c>
      <c r="F334" s="430">
        <f t="shared" ref="F334:AC334" si="255">F313*F$277</f>
        <v>0</v>
      </c>
      <c r="G334" s="430">
        <f t="shared" si="255"/>
        <v>0</v>
      </c>
      <c r="H334" s="430">
        <f t="shared" si="255"/>
        <v>0</v>
      </c>
      <c r="I334" s="430">
        <f t="shared" si="255"/>
        <v>0</v>
      </c>
      <c r="J334" s="430">
        <f t="shared" si="255"/>
        <v>-217560.40270112379</v>
      </c>
      <c r="K334" s="430">
        <f t="shared" si="255"/>
        <v>-288797.98089591722</v>
      </c>
      <c r="L334" s="430">
        <f t="shared" si="255"/>
        <v>-284020.14818378392</v>
      </c>
      <c r="M334" s="430">
        <f t="shared" si="255"/>
        <v>-279340.90624511114</v>
      </c>
      <c r="N334" s="430">
        <f t="shared" si="255"/>
        <v>-274758.38147368626</v>
      </c>
      <c r="O334" s="430">
        <f t="shared" si="255"/>
        <v>-269134.96568885841</v>
      </c>
      <c r="P334" s="430">
        <f t="shared" si="255"/>
        <v>-263628.93244769081</v>
      </c>
      <c r="Q334" s="430">
        <f t="shared" si="255"/>
        <v>-258237.76981776135</v>
      </c>
      <c r="R334" s="430">
        <f t="shared" si="255"/>
        <v>-252959.02125137835</v>
      </c>
      <c r="S334" s="430">
        <f t="shared" si="255"/>
        <v>-247790.28432239196</v>
      </c>
      <c r="T334" s="430">
        <f t="shared" si="255"/>
        <v>-242729.20949286752</v>
      </c>
      <c r="U334" s="430">
        <f t="shared" si="255"/>
        <v>-237773.49890888936</v>
      </c>
      <c r="V334" s="430">
        <f t="shared" si="255"/>
        <v>-232920.90522478163</v>
      </c>
      <c r="W334" s="430">
        <f t="shared" si="255"/>
        <v>-228169.23045505219</v>
      </c>
      <c r="X334" s="430">
        <f t="shared" si="255"/>
        <v>-223516.3248533821</v>
      </c>
      <c r="Y334" s="430">
        <f t="shared" si="255"/>
        <v>-218960.08581799924</v>
      </c>
      <c r="Z334" s="430">
        <f t="shared" si="255"/>
        <v>-214498.45682279475</v>
      </c>
      <c r="AA334" s="430">
        <f t="shared" si="255"/>
        <v>-210129.42637355329</v>
      </c>
      <c r="AB334" s="430">
        <f t="shared" si="255"/>
        <v>-205851.02698868624</v>
      </c>
      <c r="AC334" s="430">
        <f t="shared" si="255"/>
        <v>-201661.33420387169</v>
      </c>
    </row>
    <row r="335" spans="1:30" ht="15.75">
      <c r="A335" s="25"/>
      <c r="B335" s="25"/>
      <c r="C335" s="426"/>
      <c r="D335" s="441"/>
      <c r="F335" s="438">
        <f>SUM(F331:F334)</f>
        <v>-1077669.9029126214</v>
      </c>
      <c r="G335" s="438">
        <f t="shared" ref="G335:AB335" si="256">SUM(G331:G334)</f>
        <v>-3421623.1501555284</v>
      </c>
      <c r="H335" s="438">
        <f t="shared" si="256"/>
        <v>-4377207.7125241067</v>
      </c>
      <c r="I335" s="438">
        <f t="shared" si="256"/>
        <v>-6201874.6686887313</v>
      </c>
      <c r="J335" s="438">
        <f t="shared" si="256"/>
        <v>-1760285.894726448</v>
      </c>
      <c r="K335" s="438">
        <f t="shared" si="256"/>
        <v>-366181.52621348685</v>
      </c>
      <c r="L335" s="438">
        <f t="shared" si="256"/>
        <v>-359149.80383190978</v>
      </c>
      <c r="M335" s="438">
        <f t="shared" si="256"/>
        <v>-352282.31949571881</v>
      </c>
      <c r="N335" s="438">
        <f t="shared" si="256"/>
        <v>-345575.28754223738</v>
      </c>
      <c r="O335" s="438">
        <f t="shared" si="256"/>
        <v>-337889.24342531583</v>
      </c>
      <c r="P335" s="438">
        <f t="shared" si="256"/>
        <v>-330380.65840541641</v>
      </c>
      <c r="Q335" s="438">
        <f t="shared" si="256"/>
        <v>-323045.27074759203</v>
      </c>
      <c r="R335" s="438">
        <f t="shared" si="256"/>
        <v>-315878.92506674794</v>
      </c>
      <c r="S335" s="438">
        <f t="shared" si="256"/>
        <v>-308877.56958003237</v>
      </c>
      <c r="T335" s="438">
        <f t="shared" si="256"/>
        <v>-302037.25343232421</v>
      </c>
      <c r="U335" s="438">
        <f t="shared" si="256"/>
        <v>-295354.1240928279</v>
      </c>
      <c r="V335" s="438">
        <f t="shared" si="256"/>
        <v>-288824.42482083844</v>
      </c>
      <c r="W335" s="438">
        <f t="shared" si="256"/>
        <v>-282444.49219879671</v>
      </c>
      <c r="X335" s="438">
        <f t="shared" si="256"/>
        <v>-276210.75373080396</v>
      </c>
      <c r="Y335" s="438">
        <f t="shared" si="256"/>
        <v>-270119.72550481657</v>
      </c>
      <c r="Z335" s="438">
        <f t="shared" si="256"/>
        <v>-264168.00991679216</v>
      </c>
      <c r="AA335" s="438">
        <f t="shared" si="256"/>
        <v>-258352.29345510417</v>
      </c>
      <c r="AB335" s="438">
        <f t="shared" si="256"/>
        <v>-252669.34454358998</v>
      </c>
      <c r="AC335" s="483">
        <f>SUM(AC331:AC334)+BK300*1000000</f>
        <v>-6435164.8476160923</v>
      </c>
      <c r="AD335" s="485">
        <f>SUM(F335:AC335)</f>
        <v>-28803267.202627879</v>
      </c>
    </row>
    <row r="336" spans="1:30" ht="15.75">
      <c r="A336" s="25"/>
      <c r="B336" s="25"/>
      <c r="C336" s="425" t="s">
        <v>0</v>
      </c>
      <c r="D336" s="442">
        <f>SUM(D337:D343)</f>
        <v>23006.361373574651</v>
      </c>
      <c r="F336" s="430"/>
      <c r="G336" s="430"/>
      <c r="H336" s="430"/>
      <c r="I336" s="430"/>
      <c r="J336" s="430"/>
      <c r="K336" s="430"/>
      <c r="L336" s="430"/>
      <c r="M336" s="430"/>
      <c r="N336" s="430"/>
      <c r="O336" s="430"/>
      <c r="P336" s="430"/>
      <c r="Q336" s="430"/>
      <c r="R336" s="430"/>
      <c r="S336" s="430"/>
      <c r="T336" s="430"/>
      <c r="U336" s="430"/>
      <c r="V336" s="430"/>
      <c r="W336" s="430"/>
      <c r="X336" s="430"/>
      <c r="Y336" s="430"/>
      <c r="Z336" s="430"/>
      <c r="AA336" s="430"/>
      <c r="AB336" s="430"/>
      <c r="AC336" s="430"/>
    </row>
    <row r="337" spans="1:30" ht="15.75">
      <c r="A337" s="25"/>
      <c r="B337" s="25"/>
      <c r="C337" s="427" t="s">
        <v>599</v>
      </c>
      <c r="D337" s="440">
        <f t="shared" ref="D337:D343" si="257">SUM(F337:AC337)/1000</f>
        <v>1959.433881858384</v>
      </c>
      <c r="F337" s="430">
        <f t="shared" ref="F337:AC337" si="258">F316*F$277</f>
        <v>0</v>
      </c>
      <c r="G337" s="430">
        <f t="shared" si="258"/>
        <v>0</v>
      </c>
      <c r="H337" s="430">
        <f t="shared" si="258"/>
        <v>0</v>
      </c>
      <c r="I337" s="430">
        <f t="shared" si="258"/>
        <v>0</v>
      </c>
      <c r="J337" s="430">
        <f t="shared" si="258"/>
        <v>83686.441132645516</v>
      </c>
      <c r="K337" s="430">
        <f t="shared" si="258"/>
        <v>112845.31385217782</v>
      </c>
      <c r="L337" s="430">
        <f t="shared" si="258"/>
        <v>114396.6431170689</v>
      </c>
      <c r="M337" s="430">
        <f t="shared" si="258"/>
        <v>115949.74475453039</v>
      </c>
      <c r="N337" s="430">
        <f t="shared" si="258"/>
        <v>117504.90944049873</v>
      </c>
      <c r="O337" s="430">
        <f t="shared" si="258"/>
        <v>114213.38484200166</v>
      </c>
      <c r="P337" s="430">
        <f t="shared" si="258"/>
        <v>111014.54675102445</v>
      </c>
      <c r="Q337" s="430">
        <f t="shared" si="258"/>
        <v>107905.78584538087</v>
      </c>
      <c r="R337" s="430">
        <f t="shared" si="258"/>
        <v>104884.56618446644</v>
      </c>
      <c r="S337" s="430">
        <f t="shared" si="258"/>
        <v>101948.42314747482</v>
      </c>
      <c r="T337" s="430">
        <f t="shared" si="258"/>
        <v>99094.961429513409</v>
      </c>
      <c r="U337" s="430">
        <f t="shared" si="258"/>
        <v>96321.853093992468</v>
      </c>
      <c r="V337" s="430">
        <f t="shared" si="258"/>
        <v>93626.835679707132</v>
      </c>
      <c r="W337" s="430">
        <f t="shared" si="258"/>
        <v>91007.710361077348</v>
      </c>
      <c r="X337" s="430">
        <f t="shared" si="258"/>
        <v>88462.340160052947</v>
      </c>
      <c r="Y337" s="430">
        <f t="shared" si="258"/>
        <v>85988.648208233557</v>
      </c>
      <c r="Z337" s="430">
        <f t="shared" si="258"/>
        <v>83584.616057792562</v>
      </c>
      <c r="AA337" s="430">
        <f t="shared" si="258"/>
        <v>81248.282039836224</v>
      </c>
      <c r="AB337" s="430">
        <f t="shared" si="258"/>
        <v>78977.739668865106</v>
      </c>
      <c r="AC337" s="430">
        <f t="shared" si="258"/>
        <v>76771.136092043671</v>
      </c>
    </row>
    <row r="338" spans="1:30" ht="15.75">
      <c r="A338" s="25"/>
      <c r="B338" s="25"/>
      <c r="C338" s="427" t="s">
        <v>600</v>
      </c>
      <c r="D338" s="440">
        <f t="shared" si="257"/>
        <v>4270.6993737037756</v>
      </c>
      <c r="F338" s="430">
        <f t="shared" ref="F338:AC338" si="259">F317*F$277</f>
        <v>0</v>
      </c>
      <c r="G338" s="430">
        <f t="shared" si="259"/>
        <v>0</v>
      </c>
      <c r="H338" s="430">
        <f t="shared" si="259"/>
        <v>0</v>
      </c>
      <c r="I338" s="430">
        <f t="shared" si="259"/>
        <v>0</v>
      </c>
      <c r="J338" s="430">
        <f t="shared" si="259"/>
        <v>190489.26046389036</v>
      </c>
      <c r="K338" s="430">
        <f t="shared" si="259"/>
        <v>253439.83554055807</v>
      </c>
      <c r="L338" s="430">
        <f t="shared" si="259"/>
        <v>250444.44865972947</v>
      </c>
      <c r="M338" s="430">
        <f t="shared" si="259"/>
        <v>247520.72375262057</v>
      </c>
      <c r="N338" s="430">
        <f t="shared" si="259"/>
        <v>244667.36394950704</v>
      </c>
      <c r="O338" s="430">
        <f t="shared" si="259"/>
        <v>239247.53632708182</v>
      </c>
      <c r="P338" s="430">
        <f t="shared" si="259"/>
        <v>233951.95301473103</v>
      </c>
      <c r="Q338" s="430">
        <f t="shared" si="259"/>
        <v>228777.6616137072</v>
      </c>
      <c r="R338" s="430">
        <f t="shared" si="259"/>
        <v>223721.7823904028</v>
      </c>
      <c r="S338" s="430">
        <f t="shared" si="259"/>
        <v>218781.50642968673</v>
      </c>
      <c r="T338" s="430">
        <f t="shared" si="259"/>
        <v>213954.09383647432</v>
      </c>
      <c r="U338" s="430">
        <f t="shared" si="259"/>
        <v>209236.87198424531</v>
      </c>
      <c r="V338" s="430">
        <f t="shared" si="259"/>
        <v>204627.23380925352</v>
      </c>
      <c r="W338" s="430">
        <f t="shared" si="259"/>
        <v>200122.63614921118</v>
      </c>
      <c r="X338" s="430">
        <f t="shared" si="259"/>
        <v>195720.59812526134</v>
      </c>
      <c r="Y338" s="430">
        <f t="shared" si="259"/>
        <v>191418.6995660839</v>
      </c>
      <c r="Z338" s="430">
        <f t="shared" si="259"/>
        <v>187214.57947301352</v>
      </c>
      <c r="AA338" s="430">
        <f t="shared" si="259"/>
        <v>183105.93452507656</v>
      </c>
      <c r="AB338" s="430">
        <f t="shared" si="259"/>
        <v>179090.51762288553</v>
      </c>
      <c r="AC338" s="430">
        <f t="shared" si="259"/>
        <v>175166.13647035602</v>
      </c>
    </row>
    <row r="339" spans="1:30" ht="15.75">
      <c r="A339" s="25"/>
      <c r="B339" s="25"/>
      <c r="C339" s="427" t="s">
        <v>202</v>
      </c>
      <c r="D339" s="440">
        <f t="shared" si="257"/>
        <v>3350.8546898493432</v>
      </c>
      <c r="F339" s="430">
        <f t="shared" ref="F339:AC339" si="260">F318*F$277</f>
        <v>0</v>
      </c>
      <c r="G339" s="430">
        <f t="shared" si="260"/>
        <v>0</v>
      </c>
      <c r="H339" s="430">
        <f t="shared" si="260"/>
        <v>0</v>
      </c>
      <c r="I339" s="430">
        <f t="shared" si="260"/>
        <v>0</v>
      </c>
      <c r="J339" s="430">
        <f t="shared" si="260"/>
        <v>148820.47092418253</v>
      </c>
      <c r="K339" s="430">
        <f t="shared" si="260"/>
        <v>197566.51759089649</v>
      </c>
      <c r="L339" s="430">
        <f t="shared" si="260"/>
        <v>194053.22260243673</v>
      </c>
      <c r="M339" s="430">
        <f t="shared" si="260"/>
        <v>190610.22234438913</v>
      </c>
      <c r="N339" s="430">
        <f t="shared" si="260"/>
        <v>187236.25720215388</v>
      </c>
      <c r="O339" s="430">
        <f t="shared" si="260"/>
        <v>183829.93499242375</v>
      </c>
      <c r="P339" s="430">
        <f t="shared" si="260"/>
        <v>180485.60966508856</v>
      </c>
      <c r="Q339" s="430">
        <f t="shared" si="260"/>
        <v>177202.17348538325</v>
      </c>
      <c r="R339" s="430">
        <f t="shared" si="260"/>
        <v>173978.53771483991</v>
      </c>
      <c r="S339" s="430">
        <f t="shared" si="260"/>
        <v>170813.63231294331</v>
      </c>
      <c r="T339" s="430">
        <f t="shared" si="260"/>
        <v>167706.40564254057</v>
      </c>
      <c r="U339" s="430">
        <f t="shared" si="260"/>
        <v>164655.82417899364</v>
      </c>
      <c r="V339" s="430">
        <f t="shared" si="260"/>
        <v>161660.87222305796</v>
      </c>
      <c r="W339" s="430">
        <f t="shared" si="260"/>
        <v>158720.55161747267</v>
      </c>
      <c r="X339" s="430">
        <f t="shared" si="260"/>
        <v>155833.88146724427</v>
      </c>
      <c r="Y339" s="430">
        <f t="shared" si="260"/>
        <v>152999.89786360468</v>
      </c>
      <c r="Z339" s="430">
        <f t="shared" si="260"/>
        <v>150217.65361162488</v>
      </c>
      <c r="AA339" s="430">
        <f t="shared" si="260"/>
        <v>147486.21796146175</v>
      </c>
      <c r="AB339" s="430">
        <f t="shared" si="260"/>
        <v>144804.67634321755</v>
      </c>
      <c r="AC339" s="430">
        <f t="shared" si="260"/>
        <v>142172.13010538733</v>
      </c>
    </row>
    <row r="340" spans="1:30" ht="15.75">
      <c r="A340" s="25"/>
      <c r="B340" s="25"/>
      <c r="C340" s="427" t="s">
        <v>203</v>
      </c>
      <c r="D340" s="440">
        <f t="shared" si="257"/>
        <v>3984.2587958551917</v>
      </c>
      <c r="F340" s="430">
        <f t="shared" ref="F340:AC340" si="261">F319*F$277</f>
        <v>0</v>
      </c>
      <c r="G340" s="430">
        <f t="shared" si="261"/>
        <v>0</v>
      </c>
      <c r="H340" s="430">
        <f t="shared" si="261"/>
        <v>0</v>
      </c>
      <c r="I340" s="430">
        <f t="shared" si="261"/>
        <v>0</v>
      </c>
      <c r="J340" s="430">
        <f t="shared" si="261"/>
        <v>255928.73304449272</v>
      </c>
      <c r="K340" s="430">
        <f t="shared" si="261"/>
        <v>251628.89391995556</v>
      </c>
      <c r="L340" s="430">
        <f t="shared" si="261"/>
        <v>244525.20709095316</v>
      </c>
      <c r="M340" s="430">
        <f t="shared" si="261"/>
        <v>237628.10692547343</v>
      </c>
      <c r="N340" s="430">
        <f t="shared" si="261"/>
        <v>230931.61093460751</v>
      </c>
      <c r="O340" s="430">
        <f t="shared" si="261"/>
        <v>224276.21776522807</v>
      </c>
      <c r="P340" s="430">
        <f t="shared" si="261"/>
        <v>217813.26879036476</v>
      </c>
      <c r="Q340" s="430">
        <f t="shared" si="261"/>
        <v>211537.18686288659</v>
      </c>
      <c r="R340" s="430">
        <f t="shared" si="261"/>
        <v>205442.55671007489</v>
      </c>
      <c r="S340" s="430">
        <f t="shared" si="261"/>
        <v>199524.12023048208</v>
      </c>
      <c r="T340" s="430">
        <f t="shared" si="261"/>
        <v>193776.77192753085</v>
      </c>
      <c r="U340" s="430">
        <f t="shared" si="261"/>
        <v>188195.55447587656</v>
      </c>
      <c r="V340" s="430">
        <f t="shared" si="261"/>
        <v>182775.65441667018</v>
      </c>
      <c r="W340" s="430">
        <f t="shared" si="261"/>
        <v>177512.39797797339</v>
      </c>
      <c r="X340" s="430">
        <f t="shared" si="261"/>
        <v>172401.24701668462</v>
      </c>
      <c r="Y340" s="430">
        <f t="shared" si="261"/>
        <v>167437.79507844269</v>
      </c>
      <c r="Z340" s="430">
        <f t="shared" si="261"/>
        <v>162617.76357207561</v>
      </c>
      <c r="AA340" s="430">
        <f t="shared" si="261"/>
        <v>157936.99805526348</v>
      </c>
      <c r="AB340" s="430">
        <f t="shared" si="261"/>
        <v>153391.46462818046</v>
      </c>
      <c r="AC340" s="430">
        <f t="shared" si="261"/>
        <v>148977.24643197531</v>
      </c>
    </row>
    <row r="341" spans="1:30" ht="15.75">
      <c r="C341" s="427" t="s">
        <v>204</v>
      </c>
      <c r="D341" s="440">
        <f t="shared" si="257"/>
        <v>789.98018464033146</v>
      </c>
      <c r="F341" s="430">
        <f t="shared" ref="F341:AC341" si="262">F320*F$277</f>
        <v>0</v>
      </c>
      <c r="G341" s="430">
        <f t="shared" si="262"/>
        <v>0</v>
      </c>
      <c r="H341" s="430">
        <f t="shared" si="262"/>
        <v>0</v>
      </c>
      <c r="I341" s="430">
        <f t="shared" si="262"/>
        <v>0</v>
      </c>
      <c r="J341" s="430">
        <f t="shared" si="262"/>
        <v>43164.778607338267</v>
      </c>
      <c r="K341" s="430">
        <f t="shared" si="262"/>
        <v>55028.778399221206</v>
      </c>
      <c r="L341" s="430">
        <f t="shared" si="262"/>
        <v>52085.36839668396</v>
      </c>
      <c r="M341" s="430">
        <f t="shared" si="262"/>
        <v>49230.194198215911</v>
      </c>
      <c r="N341" s="430">
        <f t="shared" si="262"/>
        <v>47070.102334937139</v>
      </c>
      <c r="O341" s="430">
        <f t="shared" si="262"/>
        <v>44341.46624350694</v>
      </c>
      <c r="P341" s="430">
        <f t="shared" si="262"/>
        <v>43005.819069776138</v>
      </c>
      <c r="Q341" s="430">
        <f t="shared" si="262"/>
        <v>41708.88298445219</v>
      </c>
      <c r="R341" s="430">
        <f t="shared" si="262"/>
        <v>40449.54724892183</v>
      </c>
      <c r="S341" s="430">
        <f t="shared" si="262"/>
        <v>39226.733098783123</v>
      </c>
      <c r="T341" s="430">
        <f t="shared" si="262"/>
        <v>38039.39281532992</v>
      </c>
      <c r="U341" s="430">
        <f t="shared" si="262"/>
        <v>36886.508824268698</v>
      </c>
      <c r="V341" s="430">
        <f t="shared" si="262"/>
        <v>35767.092820861188</v>
      </c>
      <c r="W341" s="430">
        <f t="shared" si="262"/>
        <v>34680.184920711588</v>
      </c>
      <c r="X341" s="430">
        <f t="shared" si="262"/>
        <v>33624.85283543996</v>
      </c>
      <c r="Y341" s="430">
        <f t="shared" si="262"/>
        <v>32600.191072505539</v>
      </c>
      <c r="Z341" s="430">
        <f t="shared" si="262"/>
        <v>31849.462045236916</v>
      </c>
      <c r="AA341" s="430">
        <f t="shared" si="262"/>
        <v>31116.63459239369</v>
      </c>
      <c r="AB341" s="430">
        <f t="shared" si="262"/>
        <v>30401.266659673864</v>
      </c>
      <c r="AC341" s="430">
        <f t="shared" si="262"/>
        <v>29702.927472073297</v>
      </c>
    </row>
    <row r="342" spans="1:30" ht="15.75">
      <c r="C342" s="427" t="s">
        <v>601</v>
      </c>
      <c r="D342" s="440">
        <f t="shared" si="257"/>
        <v>11.354036084869556</v>
      </c>
      <c r="F342" s="430">
        <f t="shared" ref="F342:AC342" si="263">F321*F$277</f>
        <v>0</v>
      </c>
      <c r="G342" s="430">
        <f t="shared" si="263"/>
        <v>0</v>
      </c>
      <c r="H342" s="430">
        <f t="shared" si="263"/>
        <v>0</v>
      </c>
      <c r="I342" s="430">
        <f t="shared" si="263"/>
        <v>0</v>
      </c>
      <c r="J342" s="430">
        <f t="shared" si="263"/>
        <v>510.56080853584984</v>
      </c>
      <c r="K342" s="430">
        <f t="shared" si="263"/>
        <v>676.8626410448345</v>
      </c>
      <c r="L342" s="430">
        <f t="shared" si="263"/>
        <v>663.84862185965835</v>
      </c>
      <c r="M342" s="430">
        <f t="shared" si="263"/>
        <v>651.0882059410568</v>
      </c>
      <c r="N342" s="430">
        <f t="shared" si="263"/>
        <v>638.57647528958648</v>
      </c>
      <c r="O342" s="430">
        <f t="shared" si="263"/>
        <v>626.13213730115228</v>
      </c>
      <c r="P342" s="430">
        <f t="shared" si="263"/>
        <v>613.9307094632037</v>
      </c>
      <c r="Q342" s="430">
        <f t="shared" si="263"/>
        <v>601.96743892434813</v>
      </c>
      <c r="R342" s="430">
        <f t="shared" si="263"/>
        <v>590.23766614849399</v>
      </c>
      <c r="S342" s="430">
        <f t="shared" si="263"/>
        <v>578.73682307373167</v>
      </c>
      <c r="T342" s="430">
        <f t="shared" si="263"/>
        <v>567.4604313077906</v>
      </c>
      <c r="U342" s="430">
        <f t="shared" si="263"/>
        <v>556.40410035934337</v>
      </c>
      <c r="V342" s="430">
        <f t="shared" si="263"/>
        <v>545.56352590443475</v>
      </c>
      <c r="W342" s="430">
        <f t="shared" si="263"/>
        <v>534.93448808733137</v>
      </c>
      <c r="X342" s="430">
        <f t="shared" si="263"/>
        <v>524.51284985510654</v>
      </c>
      <c r="Y342" s="430">
        <f t="shared" si="263"/>
        <v>514.29455532527618</v>
      </c>
      <c r="Z342" s="430">
        <f t="shared" si="263"/>
        <v>504.27562818583152</v>
      </c>
      <c r="AA342" s="430">
        <f t="shared" si="263"/>
        <v>494.45217012701607</v>
      </c>
      <c r="AB342" s="430">
        <f t="shared" si="263"/>
        <v>484.82035930420972</v>
      </c>
      <c r="AC342" s="430">
        <f t="shared" si="263"/>
        <v>475.37644883130167</v>
      </c>
    </row>
    <row r="343" spans="1:30" ht="15.75">
      <c r="C343" s="427" t="s">
        <v>205</v>
      </c>
      <c r="D343" s="440">
        <f t="shared" si="257"/>
        <v>8639.7804115827548</v>
      </c>
      <c r="F343" s="430">
        <f t="shared" ref="F343:AC343" si="264">F322*F$277</f>
        <v>0</v>
      </c>
      <c r="G343" s="430">
        <f t="shared" si="264"/>
        <v>0</v>
      </c>
      <c r="H343" s="430">
        <f t="shared" si="264"/>
        <v>0</v>
      </c>
      <c r="I343" s="430">
        <f t="shared" si="264"/>
        <v>0</v>
      </c>
      <c r="J343" s="430">
        <f t="shared" si="264"/>
        <v>378399.04170633806</v>
      </c>
      <c r="K343" s="430">
        <f t="shared" si="264"/>
        <v>507535.94690488128</v>
      </c>
      <c r="L343" s="430">
        <f t="shared" si="264"/>
        <v>510000.79502750933</v>
      </c>
      <c r="M343" s="430">
        <f t="shared" si="264"/>
        <v>512504.14103773824</v>
      </c>
      <c r="N343" s="430">
        <f t="shared" si="264"/>
        <v>515045.84275532025</v>
      </c>
      <c r="O343" s="430">
        <f t="shared" si="264"/>
        <v>500765.07300082233</v>
      </c>
      <c r="P343" s="430">
        <f t="shared" si="264"/>
        <v>486883.18156894628</v>
      </c>
      <c r="Q343" s="430">
        <f t="shared" si="264"/>
        <v>473388.96938145906</v>
      </c>
      <c r="R343" s="430">
        <f t="shared" si="264"/>
        <v>460271.55293463741</v>
      </c>
      <c r="S343" s="430">
        <f t="shared" si="264"/>
        <v>447520.35538433149</v>
      </c>
      <c r="T343" s="430">
        <f t="shared" si="264"/>
        <v>435125.09788331424</v>
      </c>
      <c r="U343" s="430">
        <f t="shared" si="264"/>
        <v>423075.79116376978</v>
      </c>
      <c r="V343" s="430">
        <f t="shared" si="264"/>
        <v>411362.72735797177</v>
      </c>
      <c r="W343" s="430">
        <f t="shared" si="264"/>
        <v>399976.47205040784</v>
      </c>
      <c r="X343" s="430">
        <f t="shared" si="264"/>
        <v>388907.85655479075</v>
      </c>
      <c r="Y343" s="430">
        <f t="shared" si="264"/>
        <v>378147.97040958324</v>
      </c>
      <c r="Z343" s="430">
        <f t="shared" si="264"/>
        <v>367688.15408585063</v>
      </c>
      <c r="AA343" s="430">
        <f t="shared" si="264"/>
        <v>357519.99190142076</v>
      </c>
      <c r="AB343" s="430">
        <f t="shared" si="264"/>
        <v>347635.30513551313</v>
      </c>
      <c r="AC343" s="430">
        <f t="shared" si="264"/>
        <v>338026.14533815149</v>
      </c>
    </row>
    <row r="344" spans="1:30" ht="15.75">
      <c r="C344" s="426"/>
      <c r="D344" s="441"/>
      <c r="F344" s="437">
        <f>SUM(F337:F343)</f>
        <v>0</v>
      </c>
      <c r="G344" s="437">
        <f t="shared" ref="G344:AB344" si="265">SUM(G337:G343)</f>
        <v>0</v>
      </c>
      <c r="H344" s="437">
        <f t="shared" si="265"/>
        <v>0</v>
      </c>
      <c r="I344" s="437">
        <f t="shared" si="265"/>
        <v>0</v>
      </c>
      <c r="J344" s="437">
        <f t="shared" si="265"/>
        <v>1100999.2866874235</v>
      </c>
      <c r="K344" s="437">
        <f t="shared" si="265"/>
        <v>1378722.1488487353</v>
      </c>
      <c r="L344" s="437">
        <f t="shared" si="265"/>
        <v>1366169.5335162412</v>
      </c>
      <c r="M344" s="437">
        <f t="shared" si="265"/>
        <v>1354094.2212189087</v>
      </c>
      <c r="N344" s="437">
        <f t="shared" si="265"/>
        <v>1343094.6630923138</v>
      </c>
      <c r="O344" s="437">
        <f t="shared" si="265"/>
        <v>1307299.7453083657</v>
      </c>
      <c r="P344" s="437">
        <f t="shared" si="265"/>
        <v>1273768.3095693944</v>
      </c>
      <c r="Q344" s="437">
        <f t="shared" si="265"/>
        <v>1241122.6276121936</v>
      </c>
      <c r="R344" s="437">
        <f t="shared" si="265"/>
        <v>1209338.7808494917</v>
      </c>
      <c r="S344" s="437">
        <f t="shared" si="265"/>
        <v>1178393.5074267753</v>
      </c>
      <c r="T344" s="437">
        <f t="shared" si="265"/>
        <v>1148264.1839660113</v>
      </c>
      <c r="U344" s="437">
        <f t="shared" si="265"/>
        <v>1118928.8078215057</v>
      </c>
      <c r="V344" s="437">
        <f t="shared" si="265"/>
        <v>1090365.9798334262</v>
      </c>
      <c r="W344" s="437">
        <f t="shared" si="265"/>
        <v>1062554.8875649413</v>
      </c>
      <c r="X344" s="437">
        <f t="shared" si="265"/>
        <v>1035475.289009329</v>
      </c>
      <c r="Y344" s="437">
        <f t="shared" si="265"/>
        <v>1009107.496753779</v>
      </c>
      <c r="Z344" s="437">
        <f t="shared" si="265"/>
        <v>983676.50447378005</v>
      </c>
      <c r="AA344" s="437">
        <f t="shared" si="265"/>
        <v>958908.51124557946</v>
      </c>
      <c r="AB344" s="437">
        <f t="shared" si="265"/>
        <v>934785.79041763977</v>
      </c>
      <c r="AC344" s="484">
        <f>SUM(AC337:AC343)+BK301*1000000</f>
        <v>19642051.894449309</v>
      </c>
      <c r="AD344" s="485">
        <f>SUM(F344:AC344)</f>
        <v>41737122.169665143</v>
      </c>
    </row>
    <row r="345" spans="1:30" ht="15.75">
      <c r="C345" s="425" t="s">
        <v>184</v>
      </c>
      <c r="D345" s="442">
        <f>NPV(0.03,F325:AC325)/1000</f>
        <v>19578.337801002086</v>
      </c>
    </row>
    <row r="346" spans="1:30" ht="15.75">
      <c r="C346" s="425" t="s">
        <v>185</v>
      </c>
      <c r="D346" s="443">
        <f>IRR(F346:AC346)</f>
        <v>4.2084625550056369E-2</v>
      </c>
      <c r="F346" s="430">
        <f>F335+F344</f>
        <v>-1077669.9029126214</v>
      </c>
      <c r="G346" s="430">
        <f t="shared" ref="G346:AC346" si="266">G335+G344</f>
        <v>-3421623.1501555284</v>
      </c>
      <c r="H346" s="430">
        <f t="shared" si="266"/>
        <v>-4377207.7125241067</v>
      </c>
      <c r="I346" s="430">
        <f t="shared" si="266"/>
        <v>-6201874.6686887313</v>
      </c>
      <c r="J346" s="430">
        <f t="shared" si="266"/>
        <v>-659286.60803902452</v>
      </c>
      <c r="K346" s="430">
        <f t="shared" si="266"/>
        <v>1012540.6226352483</v>
      </c>
      <c r="L346" s="430">
        <f t="shared" si="266"/>
        <v>1007019.7296843315</v>
      </c>
      <c r="M346" s="430">
        <f t="shared" si="266"/>
        <v>1001811.9017231899</v>
      </c>
      <c r="N346" s="430">
        <f t="shared" si="266"/>
        <v>997519.37555007637</v>
      </c>
      <c r="O346" s="430">
        <f t="shared" si="266"/>
        <v>969410.50188304984</v>
      </c>
      <c r="P346" s="430">
        <f t="shared" si="266"/>
        <v>943387.65116397804</v>
      </c>
      <c r="Q346" s="430">
        <f t="shared" si="266"/>
        <v>918077.35686460161</v>
      </c>
      <c r="R346" s="430">
        <f t="shared" si="266"/>
        <v>893459.85578274378</v>
      </c>
      <c r="S346" s="430">
        <f t="shared" si="266"/>
        <v>869515.93784674292</v>
      </c>
      <c r="T346" s="430">
        <f t="shared" si="266"/>
        <v>846226.93053368712</v>
      </c>
      <c r="U346" s="430">
        <f t="shared" si="266"/>
        <v>823574.6837286778</v>
      </c>
      <c r="V346" s="430">
        <f t="shared" si="266"/>
        <v>801541.55501258769</v>
      </c>
      <c r="W346" s="430">
        <f t="shared" si="266"/>
        <v>780110.3953661446</v>
      </c>
      <c r="X346" s="430">
        <f t="shared" si="266"/>
        <v>759264.53527852509</v>
      </c>
      <c r="Y346" s="430">
        <f t="shared" si="266"/>
        <v>738987.7712489625</v>
      </c>
      <c r="Z346" s="430">
        <f t="shared" si="266"/>
        <v>719508.49455698789</v>
      </c>
      <c r="AA346" s="430">
        <f t="shared" si="266"/>
        <v>700556.21779047535</v>
      </c>
      <c r="AB346" s="430">
        <f t="shared" si="266"/>
        <v>682116.44587404979</v>
      </c>
      <c r="AC346" s="430">
        <f t="shared" si="266"/>
        <v>13206887.046833217</v>
      </c>
    </row>
    <row r="347" spans="1:30" ht="15.75">
      <c r="C347" s="425" t="s">
        <v>186</v>
      </c>
      <c r="D347" s="444">
        <f>SUM(F344:AC344)/-SUM(F335:AC335)</f>
        <v>1.4490412450799066</v>
      </c>
    </row>
    <row r="350" spans="1:30" ht="14.25">
      <c r="C350" s="436" t="s">
        <v>619</v>
      </c>
      <c r="D350" s="39"/>
      <c r="E350" s="39"/>
    </row>
    <row r="351" spans="1:30" ht="15.75">
      <c r="C351" s="425" t="s">
        <v>1</v>
      </c>
      <c r="D351" s="442">
        <f>SUM(D352:D355)</f>
        <v>18309.408702255889</v>
      </c>
      <c r="E351" s="39"/>
      <c r="F351" s="39"/>
    </row>
    <row r="352" spans="1:30" ht="15.75">
      <c r="C352" s="427" t="s">
        <v>199</v>
      </c>
      <c r="D352" s="440">
        <f>-SUM(F352:AC352)/1000</f>
        <v>14176.776496633214</v>
      </c>
      <c r="E352" s="39"/>
      <c r="F352" s="430">
        <f>F310*F$279</f>
        <v>-1037383.1775700934</v>
      </c>
      <c r="G352" s="430">
        <f t="shared" ref="G352:AC352" si="267">G310*G$279</f>
        <v>-3170582.5836317581</v>
      </c>
      <c r="H352" s="430">
        <f t="shared" si="267"/>
        <v>-3708713.3540074346</v>
      </c>
      <c r="I352" s="430">
        <f t="shared" si="267"/>
        <v>-5050843.1132621458</v>
      </c>
      <c r="J352" s="430">
        <f t="shared" si="267"/>
        <v>-1209254.2681617823</v>
      </c>
      <c r="K352" s="430">
        <f t="shared" si="267"/>
        <v>0</v>
      </c>
      <c r="L352" s="430">
        <f t="shared" si="267"/>
        <v>0</v>
      </c>
      <c r="M352" s="430">
        <f t="shared" si="267"/>
        <v>0</v>
      </c>
      <c r="N352" s="430">
        <f t="shared" si="267"/>
        <v>0</v>
      </c>
      <c r="O352" s="430">
        <f t="shared" si="267"/>
        <v>0</v>
      </c>
      <c r="P352" s="430">
        <f t="shared" si="267"/>
        <v>0</v>
      </c>
      <c r="Q352" s="430">
        <f t="shared" si="267"/>
        <v>0</v>
      </c>
      <c r="R352" s="430">
        <f t="shared" si="267"/>
        <v>0</v>
      </c>
      <c r="S352" s="430">
        <f t="shared" si="267"/>
        <v>0</v>
      </c>
      <c r="T352" s="430">
        <f t="shared" si="267"/>
        <v>0</v>
      </c>
      <c r="U352" s="430">
        <f t="shared" si="267"/>
        <v>0</v>
      </c>
      <c r="V352" s="430">
        <f t="shared" si="267"/>
        <v>0</v>
      </c>
      <c r="W352" s="430">
        <f t="shared" si="267"/>
        <v>0</v>
      </c>
      <c r="X352" s="430">
        <f t="shared" si="267"/>
        <v>0</v>
      </c>
      <c r="Y352" s="430">
        <f t="shared" si="267"/>
        <v>0</v>
      </c>
      <c r="Z352" s="430">
        <f t="shared" si="267"/>
        <v>0</v>
      </c>
      <c r="AA352" s="430">
        <f t="shared" si="267"/>
        <v>0</v>
      </c>
      <c r="AB352" s="430">
        <f t="shared" si="267"/>
        <v>0</v>
      </c>
      <c r="AC352" s="430">
        <f t="shared" si="267"/>
        <v>0</v>
      </c>
    </row>
    <row r="353" spans="3:29" ht="15.75">
      <c r="C353" s="427" t="s">
        <v>200</v>
      </c>
      <c r="D353" s="440">
        <f>-SUM(F353:AC353)/1000</f>
        <v>746.78814157032139</v>
      </c>
      <c r="F353" s="430">
        <f t="shared" ref="F353:AC353" si="268">F311*F$279</f>
        <v>0</v>
      </c>
      <c r="G353" s="430">
        <f t="shared" si="268"/>
        <v>0</v>
      </c>
      <c r="H353" s="430">
        <f t="shared" si="268"/>
        <v>0</v>
      </c>
      <c r="I353" s="430">
        <f t="shared" si="268"/>
        <v>0</v>
      </c>
      <c r="J353" s="430">
        <f t="shared" si="268"/>
        <v>-65879.922984290955</v>
      </c>
      <c r="K353" s="430">
        <f t="shared" si="268"/>
        <v>-61570.021480645737</v>
      </c>
      <c r="L353" s="430">
        <f t="shared" si="268"/>
        <v>-57542.076150136199</v>
      </c>
      <c r="M353" s="430">
        <f t="shared" si="268"/>
        <v>-53777.641261809527</v>
      </c>
      <c r="N353" s="430">
        <f t="shared" si="268"/>
        <v>-50259.477814775259</v>
      </c>
      <c r="O353" s="430">
        <f t="shared" si="268"/>
        <v>-46971.474593247905</v>
      </c>
      <c r="P353" s="430">
        <f t="shared" si="268"/>
        <v>-43898.574386212989</v>
      </c>
      <c r="Q353" s="430">
        <f t="shared" si="268"/>
        <v>-41026.705033843915</v>
      </c>
      <c r="R353" s="430">
        <f t="shared" si="268"/>
        <v>-38342.714984900857</v>
      </c>
      <c r="S353" s="430">
        <f t="shared" si="268"/>
        <v>-35834.313070000797</v>
      </c>
      <c r="T353" s="430">
        <f t="shared" si="268"/>
        <v>-33490.012214954011</v>
      </c>
      <c r="U353" s="430">
        <f t="shared" si="268"/>
        <v>-31299.076836405617</v>
      </c>
      <c r="V353" s="430">
        <f t="shared" si="268"/>
        <v>-29251.473678883754</v>
      </c>
      <c r="W353" s="430">
        <f t="shared" si="268"/>
        <v>-27337.825868115659</v>
      </c>
      <c r="X353" s="430">
        <f t="shared" si="268"/>
        <v>-25549.369970201547</v>
      </c>
      <c r="Y353" s="430">
        <f t="shared" si="268"/>
        <v>-23877.915860001449</v>
      </c>
      <c r="Z353" s="430">
        <f t="shared" si="268"/>
        <v>-22315.809214954621</v>
      </c>
      <c r="AA353" s="430">
        <f t="shared" si="268"/>
        <v>-20855.896462574412</v>
      </c>
      <c r="AB353" s="430">
        <f t="shared" si="268"/>
        <v>-19491.49202109758</v>
      </c>
      <c r="AC353" s="430">
        <f t="shared" si="268"/>
        <v>-18216.347683268767</v>
      </c>
    </row>
    <row r="354" spans="3:29" ht="15.75">
      <c r="C354" s="428" t="s">
        <v>563</v>
      </c>
      <c r="D354" s="440">
        <f>-SUM(F354:AC354)/1000</f>
        <v>470.08266159392718</v>
      </c>
      <c r="F354" s="430">
        <f t="shared" ref="F354:AC354" si="269">F312*F$279</f>
        <v>0</v>
      </c>
      <c r="G354" s="430">
        <f t="shared" si="269"/>
        <v>0</v>
      </c>
      <c r="H354" s="430">
        <f t="shared" si="269"/>
        <v>-195715.34937957278</v>
      </c>
      <c r="I354" s="430">
        <f t="shared" si="269"/>
        <v>-274367.3122143544</v>
      </c>
      <c r="J354" s="430">
        <f t="shared" si="269"/>
        <v>0</v>
      </c>
      <c r="K354" s="430">
        <f t="shared" si="269"/>
        <v>0</v>
      </c>
      <c r="L354" s="430">
        <f t="shared" si="269"/>
        <v>0</v>
      </c>
      <c r="M354" s="430">
        <f t="shared" si="269"/>
        <v>0</v>
      </c>
      <c r="N354" s="430">
        <f t="shared" si="269"/>
        <v>0</v>
      </c>
      <c r="O354" s="430">
        <f t="shared" si="269"/>
        <v>0</v>
      </c>
      <c r="P354" s="430">
        <f t="shared" si="269"/>
        <v>0</v>
      </c>
      <c r="Q354" s="430">
        <f t="shared" si="269"/>
        <v>0</v>
      </c>
      <c r="R354" s="430">
        <f t="shared" si="269"/>
        <v>0</v>
      </c>
      <c r="S354" s="430">
        <f t="shared" si="269"/>
        <v>0</v>
      </c>
      <c r="T354" s="430">
        <f t="shared" si="269"/>
        <v>0</v>
      </c>
      <c r="U354" s="430">
        <f t="shared" si="269"/>
        <v>0</v>
      </c>
      <c r="V354" s="430">
        <f t="shared" si="269"/>
        <v>0</v>
      </c>
      <c r="W354" s="430">
        <f t="shared" si="269"/>
        <v>0</v>
      </c>
      <c r="X354" s="430">
        <f t="shared" si="269"/>
        <v>0</v>
      </c>
      <c r="Y354" s="430">
        <f t="shared" si="269"/>
        <v>0</v>
      </c>
      <c r="Z354" s="430">
        <f t="shared" si="269"/>
        <v>0</v>
      </c>
      <c r="AA354" s="430">
        <f t="shared" si="269"/>
        <v>0</v>
      </c>
      <c r="AB354" s="430">
        <f t="shared" si="269"/>
        <v>0</v>
      </c>
      <c r="AC354" s="430">
        <f t="shared" si="269"/>
        <v>0</v>
      </c>
    </row>
    <row r="355" spans="3:29" ht="15.75">
      <c r="C355" s="427" t="s">
        <v>201</v>
      </c>
      <c r="D355" s="440">
        <f>-SUM(F355:AC355)/1000</f>
        <v>2915.761402458425</v>
      </c>
      <c r="F355" s="430">
        <f t="shared" ref="F355:AC355" si="270">F313*F$279</f>
        <v>0</v>
      </c>
      <c r="G355" s="430">
        <f t="shared" si="270"/>
        <v>0</v>
      </c>
      <c r="H355" s="430">
        <f t="shared" si="270"/>
        <v>0</v>
      </c>
      <c r="I355" s="430">
        <f t="shared" si="270"/>
        <v>0</v>
      </c>
      <c r="J355" s="430">
        <f t="shared" si="270"/>
        <v>-179823.76615784704</v>
      </c>
      <c r="K355" s="430">
        <f t="shared" si="270"/>
        <v>-229781.38071029374</v>
      </c>
      <c r="L355" s="430">
        <f t="shared" si="270"/>
        <v>-217532.06312442274</v>
      </c>
      <c r="M355" s="430">
        <f t="shared" si="270"/>
        <v>-205950.15062548453</v>
      </c>
      <c r="N355" s="430">
        <f t="shared" si="270"/>
        <v>-194998.81518027498</v>
      </c>
      <c r="O355" s="430">
        <f t="shared" si="270"/>
        <v>-183867.34061065607</v>
      </c>
      <c r="P355" s="430">
        <f t="shared" si="270"/>
        <v>-173372.80999658501</v>
      </c>
      <c r="Q355" s="430">
        <f t="shared" si="270"/>
        <v>-163478.68161715046</v>
      </c>
      <c r="R355" s="430">
        <f t="shared" si="270"/>
        <v>-154150.51623667366</v>
      </c>
      <c r="S355" s="430">
        <f t="shared" si="270"/>
        <v>-145355.85575072723</v>
      </c>
      <c r="T355" s="430">
        <f t="shared" si="270"/>
        <v>-137064.1088608584</v>
      </c>
      <c r="U355" s="430">
        <f t="shared" si="270"/>
        <v>-129246.4433693961</v>
      </c>
      <c r="V355" s="430">
        <f t="shared" si="270"/>
        <v>-121875.68470957335</v>
      </c>
      <c r="W355" s="430">
        <f t="shared" si="270"/>
        <v>-114926.22034864881</v>
      </c>
      <c r="X355" s="430">
        <f t="shared" si="270"/>
        <v>-108373.90972284926</v>
      </c>
      <c r="Y355" s="430">
        <f t="shared" si="270"/>
        <v>-102195.99938285138</v>
      </c>
      <c r="Z355" s="430">
        <f t="shared" si="270"/>
        <v>-96371.043047257583</v>
      </c>
      <c r="AA355" s="430">
        <f t="shared" si="270"/>
        <v>-90878.826279153684</v>
      </c>
      <c r="AB355" s="430">
        <f t="shared" si="270"/>
        <v>-85700.295517442559</v>
      </c>
      <c r="AC355" s="430">
        <f t="shared" si="270"/>
        <v>-80817.491210278764</v>
      </c>
    </row>
    <row r="356" spans="3:29" ht="15.75">
      <c r="C356" s="426"/>
      <c r="D356" s="441"/>
      <c r="F356" s="438">
        <f>SUM(F352:F355)</f>
        <v>-1037383.1775700934</v>
      </c>
      <c r="G356" s="438">
        <f t="shared" ref="G356:AB356" si="271">SUM(G352:G355)</f>
        <v>-3170582.5836317581</v>
      </c>
      <c r="H356" s="438">
        <f t="shared" si="271"/>
        <v>-3904428.7033870071</v>
      </c>
      <c r="I356" s="438">
        <f t="shared" si="271"/>
        <v>-5325210.4254764998</v>
      </c>
      <c r="J356" s="438">
        <f t="shared" si="271"/>
        <v>-1454957.9573039203</v>
      </c>
      <c r="K356" s="438">
        <f t="shared" si="271"/>
        <v>-291351.40219093947</v>
      </c>
      <c r="L356" s="438">
        <f t="shared" si="271"/>
        <v>-275074.13927455893</v>
      </c>
      <c r="M356" s="438">
        <f t="shared" si="271"/>
        <v>-259727.79188729406</v>
      </c>
      <c r="N356" s="438">
        <f t="shared" si="271"/>
        <v>-245258.29299505023</v>
      </c>
      <c r="O356" s="438">
        <f t="shared" si="271"/>
        <v>-230838.81520390397</v>
      </c>
      <c r="P356" s="438">
        <f t="shared" si="271"/>
        <v>-217271.38438279799</v>
      </c>
      <c r="Q356" s="438">
        <f t="shared" si="271"/>
        <v>-204505.38665099436</v>
      </c>
      <c r="R356" s="438">
        <f t="shared" si="271"/>
        <v>-192493.23122157453</v>
      </c>
      <c r="S356" s="438">
        <f t="shared" si="271"/>
        <v>-181190.16882072802</v>
      </c>
      <c r="T356" s="438">
        <f t="shared" si="271"/>
        <v>-170554.12107581241</v>
      </c>
      <c r="U356" s="438">
        <f t="shared" si="271"/>
        <v>-160545.52020580173</v>
      </c>
      <c r="V356" s="438">
        <f t="shared" si="271"/>
        <v>-151127.15838845712</v>
      </c>
      <c r="W356" s="438">
        <f t="shared" si="271"/>
        <v>-142264.04621676449</v>
      </c>
      <c r="X356" s="438">
        <f t="shared" si="271"/>
        <v>-133923.2796930508</v>
      </c>
      <c r="Y356" s="438">
        <f t="shared" si="271"/>
        <v>-126073.91524285283</v>
      </c>
      <c r="Z356" s="438">
        <f t="shared" si="271"/>
        <v>-118686.8522622122</v>
      </c>
      <c r="AA356" s="438">
        <f t="shared" si="271"/>
        <v>-111734.7227417281</v>
      </c>
      <c r="AB356" s="438">
        <f t="shared" si="271"/>
        <v>-105191.78753854014</v>
      </c>
      <c r="AC356" s="483">
        <f>SUM(AC352:AC355)+BK304*1000000</f>
        <v>-2578946.9288303643</v>
      </c>
    </row>
    <row r="357" spans="3:29" ht="15.75">
      <c r="C357" s="425" t="s">
        <v>0</v>
      </c>
      <c r="D357" s="442">
        <f>SUM(D358:D364)</f>
        <v>13896.052914032998</v>
      </c>
      <c r="F357" s="430"/>
      <c r="G357" s="430"/>
      <c r="H357" s="430"/>
      <c r="I357" s="430"/>
      <c r="J357" s="430"/>
      <c r="K357" s="430"/>
      <c r="L357" s="430"/>
      <c r="M357" s="430"/>
      <c r="N357" s="430"/>
      <c r="O357" s="430"/>
      <c r="P357" s="430"/>
      <c r="Q357" s="430"/>
      <c r="R357" s="430"/>
      <c r="S357" s="430"/>
      <c r="T357" s="430"/>
      <c r="U357" s="430"/>
      <c r="V357" s="430"/>
      <c r="W357" s="430"/>
      <c r="X357" s="430"/>
      <c r="Y357" s="430"/>
      <c r="Z357" s="430"/>
      <c r="AA357" s="430"/>
      <c r="AB357" s="430"/>
      <c r="AC357" s="430"/>
    </row>
    <row r="358" spans="3:29" ht="15.75">
      <c r="C358" s="427" t="s">
        <v>599</v>
      </c>
      <c r="D358" s="440">
        <f t="shared" ref="D358:D364" si="272">SUM(F358:AC358)/1000</f>
        <v>1181.0278523983322</v>
      </c>
      <c r="F358" s="430">
        <f>F316*F$279</f>
        <v>0</v>
      </c>
      <c r="G358" s="430">
        <f t="shared" ref="G358:AC358" si="273">G316*G$279</f>
        <v>0</v>
      </c>
      <c r="H358" s="430">
        <f t="shared" si="273"/>
        <v>0</v>
      </c>
      <c r="I358" s="430">
        <f t="shared" si="273"/>
        <v>0</v>
      </c>
      <c r="J358" s="430">
        <f t="shared" si="273"/>
        <v>69170.726078737614</v>
      </c>
      <c r="K358" s="430">
        <f t="shared" si="273"/>
        <v>89785.087635307718</v>
      </c>
      <c r="L358" s="430">
        <f t="shared" si="273"/>
        <v>87616.804479877028</v>
      </c>
      <c r="M358" s="430">
        <f t="shared" si="273"/>
        <v>85486.467836645199</v>
      </c>
      <c r="N358" s="430">
        <f t="shared" si="273"/>
        <v>83394.428209489139</v>
      </c>
      <c r="O358" s="430">
        <f t="shared" si="273"/>
        <v>78028.17920477147</v>
      </c>
      <c r="P358" s="430">
        <f t="shared" si="273"/>
        <v>73007.555513814223</v>
      </c>
      <c r="Q358" s="430">
        <f t="shared" si="273"/>
        <v>68310.284825160226</v>
      </c>
      <c r="R358" s="430">
        <f t="shared" si="273"/>
        <v>63915.53043893259</v>
      </c>
      <c r="S358" s="430">
        <f t="shared" si="273"/>
        <v>59803.798722625404</v>
      </c>
      <c r="T358" s="430">
        <f t="shared" si="273"/>
        <v>55956.852532560573</v>
      </c>
      <c r="U358" s="430">
        <f t="shared" si="273"/>
        <v>52357.630216470534</v>
      </c>
      <c r="V358" s="430">
        <f t="shared" si="273"/>
        <v>48990.169837451598</v>
      </c>
      <c r="W358" s="430">
        <f t="shared" si="273"/>
        <v>45839.538282720256</v>
      </c>
      <c r="X358" s="430">
        <f t="shared" si="273"/>
        <v>42891.764942297887</v>
      </c>
      <c r="Y358" s="430">
        <f t="shared" si="273"/>
        <v>40133.779663044341</v>
      </c>
      <c r="Z358" s="430">
        <f t="shared" si="273"/>
        <v>37553.354702447468</v>
      </c>
      <c r="AA358" s="430">
        <f t="shared" si="273"/>
        <v>35139.050424340145</v>
      </c>
      <c r="AB358" s="430">
        <f t="shared" si="273"/>
        <v>32880.164495333724</v>
      </c>
      <c r="AC358" s="430">
        <f t="shared" si="273"/>
        <v>30766.684356305002</v>
      </c>
    </row>
    <row r="359" spans="3:29" ht="15.75">
      <c r="C359" s="427" t="s">
        <v>600</v>
      </c>
      <c r="D359" s="440">
        <f t="shared" si="272"/>
        <v>2568.5746926210627</v>
      </c>
      <c r="F359" s="430">
        <f t="shared" ref="F359:AC359" si="274">F317*F$279</f>
        <v>0</v>
      </c>
      <c r="G359" s="430">
        <f t="shared" si="274"/>
        <v>0</v>
      </c>
      <c r="H359" s="430">
        <f t="shared" si="274"/>
        <v>0</v>
      </c>
      <c r="I359" s="430">
        <f t="shared" si="274"/>
        <v>0</v>
      </c>
      <c r="J359" s="430">
        <f t="shared" si="274"/>
        <v>157448.21118159706</v>
      </c>
      <c r="K359" s="430">
        <f t="shared" si="274"/>
        <v>201648.76207527009</v>
      </c>
      <c r="L359" s="430">
        <f t="shared" si="274"/>
        <v>191816.31290381827</v>
      </c>
      <c r="M359" s="430">
        <f t="shared" si="274"/>
        <v>182490.02992440647</v>
      </c>
      <c r="N359" s="430">
        <f t="shared" si="274"/>
        <v>173642.91428541622</v>
      </c>
      <c r="O359" s="430">
        <f t="shared" si="274"/>
        <v>163448.87829613197</v>
      </c>
      <c r="P359" s="430">
        <f t="shared" si="274"/>
        <v>153856.05487895769</v>
      </c>
      <c r="Q359" s="430">
        <f t="shared" si="274"/>
        <v>144828.81621250382</v>
      </c>
      <c r="R359" s="430">
        <f t="shared" si="274"/>
        <v>136333.65625097841</v>
      </c>
      <c r="S359" s="430">
        <f t="shared" si="274"/>
        <v>128339.06372271183</v>
      </c>
      <c r="T359" s="430">
        <f t="shared" si="274"/>
        <v>120815.40276960588</v>
      </c>
      <c r="U359" s="430">
        <f t="shared" si="274"/>
        <v>113734.80076542843</v>
      </c>
      <c r="V359" s="430">
        <f t="shared" si="274"/>
        <v>107071.04287895982</v>
      </c>
      <c r="W359" s="430">
        <f t="shared" si="274"/>
        <v>100799.47297436948</v>
      </c>
      <c r="X359" s="430">
        <f t="shared" si="274"/>
        <v>94896.900465962448</v>
      </c>
      <c r="Y359" s="430">
        <f t="shared" si="274"/>
        <v>89341.512767682914</v>
      </c>
      <c r="Z359" s="430">
        <f t="shared" si="274"/>
        <v>84112.792999593657</v>
      </c>
      <c r="AA359" s="430">
        <f t="shared" si="274"/>
        <v>79191.442634047358</v>
      </c>
      <c r="AB359" s="430">
        <f t="shared" si="274"/>
        <v>74559.308783514556</v>
      </c>
      <c r="AC359" s="430">
        <f t="shared" si="274"/>
        <v>70199.315850106563</v>
      </c>
    </row>
    <row r="360" spans="3:29" ht="15.75">
      <c r="C360" s="427" t="s">
        <v>202</v>
      </c>
      <c r="D360" s="440">
        <f t="shared" si="272"/>
        <v>2009.1680921405118</v>
      </c>
      <c r="F360" s="430">
        <f t="shared" ref="F360:AC360" si="275">F318*F$279</f>
        <v>0</v>
      </c>
      <c r="G360" s="430">
        <f t="shared" si="275"/>
        <v>0</v>
      </c>
      <c r="H360" s="430">
        <f t="shared" si="275"/>
        <v>0</v>
      </c>
      <c r="I360" s="430">
        <f t="shared" si="275"/>
        <v>0</v>
      </c>
      <c r="J360" s="430">
        <f t="shared" si="275"/>
        <v>123007.02347814068</v>
      </c>
      <c r="K360" s="430">
        <f t="shared" si="275"/>
        <v>157193.29842033019</v>
      </c>
      <c r="L360" s="430">
        <f t="shared" si="275"/>
        <v>148626.0680398485</v>
      </c>
      <c r="M360" s="430">
        <f t="shared" si="275"/>
        <v>140531.5266219484</v>
      </c>
      <c r="N360" s="430">
        <f t="shared" si="275"/>
        <v>132883.47426338986</v>
      </c>
      <c r="O360" s="430">
        <f t="shared" si="275"/>
        <v>125588.74015189326</v>
      </c>
      <c r="P360" s="430">
        <f t="shared" si="275"/>
        <v>118694.47340644986</v>
      </c>
      <c r="Q360" s="430">
        <f t="shared" si="275"/>
        <v>112178.70151809059</v>
      </c>
      <c r="R360" s="430">
        <f t="shared" si="275"/>
        <v>106020.65611327961</v>
      </c>
      <c r="S360" s="430">
        <f t="shared" si="275"/>
        <v>100200.70708839434</v>
      </c>
      <c r="T360" s="430">
        <f t="shared" si="275"/>
        <v>94700.30033747507</v>
      </c>
      <c r="U360" s="430">
        <f t="shared" si="275"/>
        <v>89501.898877915402</v>
      </c>
      <c r="V360" s="430">
        <f t="shared" si="275"/>
        <v>84588.927189330643</v>
      </c>
      <c r="W360" s="430">
        <f t="shared" si="275"/>
        <v>79945.718590842764</v>
      </c>
      <c r="X360" s="430">
        <f t="shared" si="275"/>
        <v>75557.4654914821</v>
      </c>
      <c r="Y360" s="430">
        <f t="shared" si="275"/>
        <v>71410.172357358213</v>
      </c>
      <c r="Z360" s="430">
        <f t="shared" si="275"/>
        <v>67490.611247723893</v>
      </c>
      <c r="AA360" s="430">
        <f t="shared" si="275"/>
        <v>63786.279780069941</v>
      </c>
      <c r="AB360" s="430">
        <f t="shared" si="275"/>
        <v>60285.361391971201</v>
      </c>
      <c r="AC360" s="430">
        <f t="shared" si="275"/>
        <v>56976.687774577629</v>
      </c>
    </row>
    <row r="361" spans="3:29" ht="15.75">
      <c r="C361" s="427" t="s">
        <v>203</v>
      </c>
      <c r="D361" s="440">
        <f t="shared" si="272"/>
        <v>2434.1721023582122</v>
      </c>
      <c r="F361" s="430">
        <f t="shared" ref="F361:AC361" si="276">F319*F$279</f>
        <v>0</v>
      </c>
      <c r="G361" s="430">
        <f t="shared" si="276"/>
        <v>0</v>
      </c>
      <c r="H361" s="430">
        <f t="shared" si="276"/>
        <v>0</v>
      </c>
      <c r="I361" s="430">
        <f t="shared" si="276"/>
        <v>0</v>
      </c>
      <c r="J361" s="430">
        <f t="shared" si="276"/>
        <v>211536.97121663397</v>
      </c>
      <c r="K361" s="430">
        <f t="shared" si="276"/>
        <v>200207.89096988051</v>
      </c>
      <c r="L361" s="430">
        <f t="shared" si="276"/>
        <v>187282.74428616316</v>
      </c>
      <c r="M361" s="430">
        <f t="shared" si="276"/>
        <v>175196.48329345428</v>
      </c>
      <c r="N361" s="430">
        <f t="shared" si="276"/>
        <v>163894.5108003316</v>
      </c>
      <c r="O361" s="430">
        <f t="shared" si="276"/>
        <v>153220.78874872849</v>
      </c>
      <c r="P361" s="430">
        <f t="shared" si="276"/>
        <v>143242.61800142104</v>
      </c>
      <c r="Q361" s="430">
        <f t="shared" si="276"/>
        <v>133914.64945561576</v>
      </c>
      <c r="R361" s="430">
        <f t="shared" si="276"/>
        <v>125194.49204529048</v>
      </c>
      <c r="S361" s="430">
        <f t="shared" si="276"/>
        <v>117042.51971913128</v>
      </c>
      <c r="T361" s="430">
        <f t="shared" si="276"/>
        <v>109421.69101803657</v>
      </c>
      <c r="U361" s="430">
        <f t="shared" si="276"/>
        <v>102297.38042951061</v>
      </c>
      <c r="V361" s="430">
        <f t="shared" si="276"/>
        <v>95637.220749998989</v>
      </c>
      <c r="W361" s="430">
        <f t="shared" si="276"/>
        <v>89410.955736437216</v>
      </c>
      <c r="X361" s="430">
        <f t="shared" si="276"/>
        <v>83590.302375223138</v>
      </c>
      <c r="Y361" s="430">
        <f t="shared" si="276"/>
        <v>78148.822140696779</v>
      </c>
      <c r="Z361" s="430">
        <f t="shared" si="276"/>
        <v>73061.800656217252</v>
      </c>
      <c r="AA361" s="430">
        <f t="shared" si="276"/>
        <v>68306.135209255939</v>
      </c>
      <c r="AB361" s="430">
        <f t="shared" si="276"/>
        <v>63860.229607748821</v>
      </c>
      <c r="AC361" s="430">
        <f t="shared" si="276"/>
        <v>59703.895898436152</v>
      </c>
    </row>
    <row r="362" spans="3:29" ht="15.75">
      <c r="C362" s="427" t="s">
        <v>204</v>
      </c>
      <c r="D362" s="440">
        <f t="shared" si="272"/>
        <v>483.2554821505957</v>
      </c>
      <c r="F362" s="430">
        <f t="shared" ref="F362:AC362" si="277">F320*F$279</f>
        <v>0</v>
      </c>
      <c r="G362" s="430">
        <f t="shared" si="277"/>
        <v>0</v>
      </c>
      <c r="H362" s="430">
        <f t="shared" si="277"/>
        <v>0</v>
      </c>
      <c r="I362" s="430">
        <f t="shared" si="277"/>
        <v>0</v>
      </c>
      <c r="J362" s="430">
        <f t="shared" si="277"/>
        <v>35677.692071587349</v>
      </c>
      <c r="K362" s="430">
        <f t="shared" si="277"/>
        <v>43783.507904547805</v>
      </c>
      <c r="L362" s="430">
        <f t="shared" si="277"/>
        <v>39892.372841784068</v>
      </c>
      <c r="M362" s="430">
        <f t="shared" si="277"/>
        <v>36296.029989778363</v>
      </c>
      <c r="N362" s="430">
        <f t="shared" si="277"/>
        <v>33406.129911294731</v>
      </c>
      <c r="O362" s="430">
        <f t="shared" si="277"/>
        <v>30293.155911953338</v>
      </c>
      <c r="P362" s="430">
        <f t="shared" si="277"/>
        <v>28282.327091739964</v>
      </c>
      <c r="Q362" s="430">
        <f t="shared" si="277"/>
        <v>26404.012111915603</v>
      </c>
      <c r="R362" s="430">
        <f t="shared" si="277"/>
        <v>24649.520539394667</v>
      </c>
      <c r="S362" s="430">
        <f t="shared" si="277"/>
        <v>23010.730115877028</v>
      </c>
      <c r="T362" s="430">
        <f t="shared" si="277"/>
        <v>21480.049676487499</v>
      </c>
      <c r="U362" s="430">
        <f t="shared" si="277"/>
        <v>20050.384486613362</v>
      </c>
      <c r="V362" s="430">
        <f t="shared" si="277"/>
        <v>18715.103839247538</v>
      </c>
      <c r="W362" s="430">
        <f t="shared" si="277"/>
        <v>17468.010765433759</v>
      </c>
      <c r="X362" s="430">
        <f t="shared" si="277"/>
        <v>16303.313720026577</v>
      </c>
      <c r="Y362" s="430">
        <f t="shared" si="277"/>
        <v>15215.600113967183</v>
      </c>
      <c r="Z362" s="430">
        <f t="shared" si="277"/>
        <v>14309.50097850467</v>
      </c>
      <c r="AA362" s="430">
        <f t="shared" si="277"/>
        <v>13457.62598945523</v>
      </c>
      <c r="AB362" s="430">
        <f t="shared" si="277"/>
        <v>12656.713813634842</v>
      </c>
      <c r="AC362" s="430">
        <f t="shared" si="277"/>
        <v>11903.700277352147</v>
      </c>
    </row>
    <row r="363" spans="3:29" ht="15.75">
      <c r="C363" s="427" t="s">
        <v>601</v>
      </c>
      <c r="D363" s="440">
        <f t="shared" si="272"/>
        <v>6.818882073387166</v>
      </c>
      <c r="F363" s="430">
        <f t="shared" ref="F363:AC363" si="278">F321*F$279</f>
        <v>0</v>
      </c>
      <c r="G363" s="430">
        <f t="shared" si="278"/>
        <v>0</v>
      </c>
      <c r="H363" s="430">
        <f t="shared" si="278"/>
        <v>0</v>
      </c>
      <c r="I363" s="430">
        <f t="shared" si="278"/>
        <v>0</v>
      </c>
      <c r="J363" s="430">
        <f t="shared" si="278"/>
        <v>422.00219480949573</v>
      </c>
      <c r="K363" s="430">
        <f t="shared" si="278"/>
        <v>538.54404289118338</v>
      </c>
      <c r="L363" s="430">
        <f t="shared" si="278"/>
        <v>508.44407074244748</v>
      </c>
      <c r="M363" s="430">
        <f t="shared" si="278"/>
        <v>480.02892195952387</v>
      </c>
      <c r="N363" s="430">
        <f t="shared" si="278"/>
        <v>453.20421315478967</v>
      </c>
      <c r="O363" s="430">
        <f t="shared" si="278"/>
        <v>427.76028994137857</v>
      </c>
      <c r="P363" s="430">
        <f t="shared" si="278"/>
        <v>403.74510966831087</v>
      </c>
      <c r="Q363" s="430">
        <f t="shared" si="278"/>
        <v>381.07842768798764</v>
      </c>
      <c r="R363" s="430">
        <f t="shared" si="278"/>
        <v>359.68450735229123</v>
      </c>
      <c r="S363" s="430">
        <f t="shared" si="278"/>
        <v>339.49186669034219</v>
      </c>
      <c r="T363" s="430">
        <f t="shared" si="278"/>
        <v>320.43303932601549</v>
      </c>
      <c r="U363" s="430">
        <f t="shared" si="278"/>
        <v>302.44434883447445</v>
      </c>
      <c r="V363" s="430">
        <f t="shared" si="278"/>
        <v>285.46569578202781</v>
      </c>
      <c r="W363" s="430">
        <f t="shared" si="278"/>
        <v>269.44035673612467</v>
      </c>
      <c r="X363" s="430">
        <f t="shared" si="278"/>
        <v>254.31479457242688</v>
      </c>
      <c r="Y363" s="430">
        <f t="shared" si="278"/>
        <v>240.0384794437509</v>
      </c>
      <c r="Z363" s="430">
        <f t="shared" si="278"/>
        <v>226.56371981141061</v>
      </c>
      <c r="AA363" s="430">
        <f t="shared" si="278"/>
        <v>213.84550297320541</v>
      </c>
      <c r="AB363" s="430">
        <f t="shared" si="278"/>
        <v>201.84134455412283</v>
      </c>
      <c r="AC363" s="430">
        <f t="shared" si="278"/>
        <v>190.51114645585668</v>
      </c>
    </row>
    <row r="364" spans="3:29" ht="15.75">
      <c r="C364" s="427" t="s">
        <v>205</v>
      </c>
      <c r="D364" s="440">
        <f t="shared" si="272"/>
        <v>5213.0358102908958</v>
      </c>
      <c r="F364" s="430">
        <f t="shared" ref="F364:AC364" si="279">F322*F$279</f>
        <v>0</v>
      </c>
      <c r="G364" s="430">
        <f t="shared" si="279"/>
        <v>0</v>
      </c>
      <c r="H364" s="430">
        <f t="shared" si="279"/>
        <v>0</v>
      </c>
      <c r="I364" s="430">
        <f t="shared" si="279"/>
        <v>0</v>
      </c>
      <c r="J364" s="430">
        <f t="shared" si="279"/>
        <v>312764.36311635154</v>
      </c>
      <c r="K364" s="430">
        <f t="shared" si="279"/>
        <v>403819.68834449933</v>
      </c>
      <c r="L364" s="430">
        <f t="shared" si="279"/>
        <v>390611.46135886759</v>
      </c>
      <c r="M364" s="430">
        <f t="shared" si="279"/>
        <v>377854.8099585899</v>
      </c>
      <c r="N364" s="430">
        <f t="shared" si="279"/>
        <v>365533.26803765667</v>
      </c>
      <c r="O364" s="430">
        <f t="shared" si="279"/>
        <v>342112.15182574076</v>
      </c>
      <c r="P364" s="430">
        <f t="shared" si="279"/>
        <v>320193.63180266565</v>
      </c>
      <c r="Q364" s="430">
        <f t="shared" si="279"/>
        <v>299681.19946666219</v>
      </c>
      <c r="R364" s="430">
        <f t="shared" si="279"/>
        <v>280484.55098749802</v>
      </c>
      <c r="S364" s="430">
        <f t="shared" si="279"/>
        <v>262519.18795219995</v>
      </c>
      <c r="T364" s="430">
        <f t="shared" si="279"/>
        <v>245706.04382132567</v>
      </c>
      <c r="U364" s="430">
        <f t="shared" si="279"/>
        <v>229971.13443901268</v>
      </c>
      <c r="V364" s="430">
        <f t="shared" si="279"/>
        <v>215245.23104685335</v>
      </c>
      <c r="W364" s="430">
        <f t="shared" si="279"/>
        <v>201463.5543515833</v>
      </c>
      <c r="X364" s="430">
        <f t="shared" si="279"/>
        <v>188565.4882900512</v>
      </c>
      <c r="Y364" s="430">
        <f t="shared" si="279"/>
        <v>176494.3122223946</v>
      </c>
      <c r="Z364" s="430">
        <f t="shared" si="279"/>
        <v>165196.95036616491</v>
      </c>
      <c r="AA364" s="430">
        <f t="shared" si="279"/>
        <v>154623.73736067524</v>
      </c>
      <c r="AB364" s="430">
        <f t="shared" si="279"/>
        <v>144728.19892245287</v>
      </c>
      <c r="AC364" s="430">
        <f t="shared" si="279"/>
        <v>135466.84661965302</v>
      </c>
    </row>
    <row r="365" spans="3:29" ht="15.75">
      <c r="C365" s="426"/>
      <c r="D365" s="441"/>
      <c r="F365" s="437">
        <f>SUM(F358:F364)</f>
        <v>0</v>
      </c>
      <c r="G365" s="437">
        <f t="shared" ref="G365:AB365" si="280">SUM(G358:G364)</f>
        <v>0</v>
      </c>
      <c r="H365" s="437">
        <f t="shared" si="280"/>
        <v>0</v>
      </c>
      <c r="I365" s="437">
        <f t="shared" si="280"/>
        <v>0</v>
      </c>
      <c r="J365" s="437">
        <f t="shared" si="280"/>
        <v>910026.9893378577</v>
      </c>
      <c r="K365" s="437">
        <f t="shared" si="280"/>
        <v>1096976.779392727</v>
      </c>
      <c r="L365" s="437">
        <f t="shared" si="280"/>
        <v>1046354.207981101</v>
      </c>
      <c r="M365" s="437">
        <f t="shared" si="280"/>
        <v>998335.37654678221</v>
      </c>
      <c r="N365" s="437">
        <f t="shared" si="280"/>
        <v>953207.92972073297</v>
      </c>
      <c r="O365" s="437">
        <f t="shared" si="280"/>
        <v>893119.65442916052</v>
      </c>
      <c r="P365" s="437">
        <f t="shared" si="280"/>
        <v>837680.40580471675</v>
      </c>
      <c r="Q365" s="437">
        <f t="shared" si="280"/>
        <v>785698.74201763631</v>
      </c>
      <c r="R365" s="437">
        <f t="shared" si="280"/>
        <v>736958.09088272601</v>
      </c>
      <c r="S365" s="437">
        <f t="shared" si="280"/>
        <v>691255.49918763014</v>
      </c>
      <c r="T365" s="437">
        <f t="shared" si="280"/>
        <v>648400.77319481724</v>
      </c>
      <c r="U365" s="437">
        <f t="shared" si="280"/>
        <v>608215.6735637855</v>
      </c>
      <c r="V365" s="437">
        <f t="shared" si="280"/>
        <v>570533.16123762401</v>
      </c>
      <c r="W365" s="437">
        <f t="shared" si="280"/>
        <v>535196.6910581229</v>
      </c>
      <c r="X365" s="437">
        <f t="shared" si="280"/>
        <v>502059.55007961579</v>
      </c>
      <c r="Y365" s="437">
        <f t="shared" si="280"/>
        <v>470984.23774458782</v>
      </c>
      <c r="Z365" s="437">
        <f t="shared" si="280"/>
        <v>441951.57467046322</v>
      </c>
      <c r="AA365" s="437">
        <f t="shared" si="280"/>
        <v>414718.11690081708</v>
      </c>
      <c r="AB365" s="437">
        <f t="shared" si="280"/>
        <v>389171.81835921016</v>
      </c>
      <c r="AC365" s="484">
        <f>SUM(AC358:AC364)+BK305*1000000</f>
        <v>7871719.0015547341</v>
      </c>
    </row>
    <row r="366" spans="3:29" ht="15.75">
      <c r="C366" s="425" t="s">
        <v>184</v>
      </c>
      <c r="D366" s="442">
        <f>NPV(0.07,F325:AC325)/1000</f>
        <v>3276.0753698429221</v>
      </c>
    </row>
    <row r="367" spans="3:29" ht="15.75">
      <c r="C367" s="425" t="s">
        <v>185</v>
      </c>
      <c r="D367" s="443">
        <f>IRR(F367:AC367)</f>
        <v>3.1281909500543706E-3</v>
      </c>
      <c r="F367" s="430">
        <f>F356+F365</f>
        <v>-1037383.1775700934</v>
      </c>
      <c r="G367" s="430">
        <f t="shared" ref="G367:AC367" si="281">G356+G365</f>
        <v>-3170582.5836317581</v>
      </c>
      <c r="H367" s="430">
        <f t="shared" si="281"/>
        <v>-3904428.7033870071</v>
      </c>
      <c r="I367" s="430">
        <f t="shared" si="281"/>
        <v>-5325210.4254764998</v>
      </c>
      <c r="J367" s="430">
        <f t="shared" si="281"/>
        <v>-544930.9679660626</v>
      </c>
      <c r="K367" s="430">
        <f t="shared" si="281"/>
        <v>805625.37720178743</v>
      </c>
      <c r="L367" s="430">
        <f t="shared" si="281"/>
        <v>771280.06870654202</v>
      </c>
      <c r="M367" s="430">
        <f t="shared" si="281"/>
        <v>738607.58465948817</v>
      </c>
      <c r="N367" s="430">
        <f t="shared" si="281"/>
        <v>707949.63672568277</v>
      </c>
      <c r="O367" s="430">
        <f t="shared" si="281"/>
        <v>662280.83922525658</v>
      </c>
      <c r="P367" s="430">
        <f t="shared" si="281"/>
        <v>620409.02142191876</v>
      </c>
      <c r="Q367" s="430">
        <f t="shared" si="281"/>
        <v>581193.35536664189</v>
      </c>
      <c r="R367" s="430">
        <f t="shared" si="281"/>
        <v>544464.85966115142</v>
      </c>
      <c r="S367" s="430">
        <f t="shared" si="281"/>
        <v>510065.33036690211</v>
      </c>
      <c r="T367" s="430">
        <f t="shared" si="281"/>
        <v>477846.65211900487</v>
      </c>
      <c r="U367" s="430">
        <f t="shared" si="281"/>
        <v>447670.1533579838</v>
      </c>
      <c r="V367" s="430">
        <f t="shared" si="281"/>
        <v>419406.00284916686</v>
      </c>
      <c r="W367" s="430">
        <f t="shared" si="281"/>
        <v>392932.64484135841</v>
      </c>
      <c r="X367" s="430">
        <f t="shared" si="281"/>
        <v>368136.27038656501</v>
      </c>
      <c r="Y367" s="430">
        <f t="shared" si="281"/>
        <v>344910.32250173501</v>
      </c>
      <c r="Z367" s="430">
        <f t="shared" si="281"/>
        <v>323264.72240825102</v>
      </c>
      <c r="AA367" s="430">
        <f t="shared" si="281"/>
        <v>302983.39415908896</v>
      </c>
      <c r="AB367" s="430">
        <f t="shared" si="281"/>
        <v>283980.03082067001</v>
      </c>
      <c r="AC367" s="430">
        <f t="shared" si="281"/>
        <v>5292772.0727243703</v>
      </c>
    </row>
    <row r="368" spans="3:29" ht="15.75">
      <c r="C368" s="425" t="s">
        <v>186</v>
      </c>
      <c r="D368" s="444">
        <f>SUM(F365:AC365)/-SUM(F356:AC356)</f>
        <v>1.0294979551330263</v>
      </c>
    </row>
  </sheetData>
  <pageMargins left="0.34" right="0.28999999999999998" top="0.4" bottom="0.75" header="0.3" footer="0.3"/>
  <pageSetup paperSize="5" scale="22" fitToHeight="4" orientation="landscape" r:id="rId1"/>
  <ignoredErrors>
    <ignoredError sqref="D92" formula="1"/>
  </ignoredErrors>
</worksheet>
</file>

<file path=xl/worksheets/sheet5.xml><?xml version="1.0" encoding="utf-8"?>
<worksheet xmlns="http://schemas.openxmlformats.org/spreadsheetml/2006/main" xmlns:r="http://schemas.openxmlformats.org/officeDocument/2006/relationships">
  <dimension ref="A3:Z185"/>
  <sheetViews>
    <sheetView topLeftCell="A73" zoomScale="75" zoomScaleNormal="75" workbookViewId="0">
      <selection activeCell="C117" sqref="C117"/>
    </sheetView>
  </sheetViews>
  <sheetFormatPr defaultRowHeight="12.75"/>
  <cols>
    <col min="1" max="1" width="16.140625" customWidth="1"/>
    <col min="2" max="2" width="23.42578125" customWidth="1"/>
    <col min="3" max="3" width="10.42578125" bestFit="1" customWidth="1"/>
    <col min="4" max="4" width="9.28515625" bestFit="1" customWidth="1"/>
    <col min="5" max="5" width="10.5703125" bestFit="1" customWidth="1"/>
    <col min="6" max="6" width="11" bestFit="1" customWidth="1"/>
    <col min="7" max="7" width="10.5703125" bestFit="1" customWidth="1"/>
    <col min="8" max="8" width="10.28515625" bestFit="1" customWidth="1"/>
    <col min="9" max="9" width="11" customWidth="1"/>
    <col min="10" max="14" width="10.5703125" bestFit="1" customWidth="1"/>
    <col min="15" max="15" width="10.42578125" bestFit="1" customWidth="1"/>
    <col min="16" max="16" width="10" bestFit="1" customWidth="1"/>
    <col min="17" max="17" width="10.5703125" bestFit="1" customWidth="1"/>
    <col min="18" max="19" width="10.42578125" bestFit="1" customWidth="1"/>
    <col min="20" max="20" width="10.5703125" bestFit="1" customWidth="1"/>
    <col min="21" max="21" width="10.42578125" bestFit="1" customWidth="1"/>
    <col min="22" max="22" width="10.5703125" bestFit="1" customWidth="1"/>
    <col min="23" max="23" width="10.28515625" bestFit="1" customWidth="1"/>
    <col min="24" max="26" width="10.5703125" bestFit="1" customWidth="1"/>
  </cols>
  <sheetData>
    <row r="3" spans="1:26">
      <c r="A3" s="3" t="s">
        <v>406</v>
      </c>
      <c r="C3" s="75">
        <v>2012</v>
      </c>
      <c r="D3" s="75">
        <v>2013</v>
      </c>
      <c r="E3" s="75">
        <v>2014</v>
      </c>
      <c r="F3" s="75">
        <v>2015</v>
      </c>
      <c r="G3" s="75">
        <v>2016</v>
      </c>
      <c r="H3" s="75">
        <v>2017</v>
      </c>
      <c r="I3" s="75">
        <v>2018</v>
      </c>
      <c r="J3" s="75">
        <v>2019</v>
      </c>
      <c r="K3" s="75">
        <v>2020</v>
      </c>
      <c r="L3" s="75">
        <v>2021</v>
      </c>
      <c r="M3" s="75">
        <v>2022</v>
      </c>
      <c r="N3" s="75">
        <v>2023</v>
      </c>
      <c r="O3" s="75">
        <v>2024</v>
      </c>
      <c r="P3" s="75">
        <v>2025</v>
      </c>
      <c r="Q3" s="75">
        <v>2026</v>
      </c>
      <c r="R3" s="75">
        <v>2027</v>
      </c>
      <c r="S3" s="75">
        <v>2028</v>
      </c>
      <c r="T3" s="75">
        <v>2029</v>
      </c>
      <c r="U3" s="75">
        <v>2030</v>
      </c>
      <c r="V3" s="75">
        <v>2031</v>
      </c>
      <c r="W3" s="75">
        <v>2032</v>
      </c>
      <c r="X3" s="75">
        <v>2033</v>
      </c>
      <c r="Y3" s="75">
        <v>2034</v>
      </c>
      <c r="Z3" s="75">
        <v>2035</v>
      </c>
    </row>
    <row r="4" spans="1:26">
      <c r="C4" s="75" t="s">
        <v>18</v>
      </c>
      <c r="D4" s="72" t="s">
        <v>19</v>
      </c>
      <c r="E4" s="72" t="s">
        <v>20</v>
      </c>
      <c r="F4" s="72" t="s">
        <v>21</v>
      </c>
      <c r="G4" s="72" t="s">
        <v>22</v>
      </c>
      <c r="H4" s="72" t="s">
        <v>23</v>
      </c>
      <c r="I4" s="72" t="s">
        <v>24</v>
      </c>
      <c r="J4" s="72" t="s">
        <v>25</v>
      </c>
      <c r="K4" s="72" t="s">
        <v>26</v>
      </c>
      <c r="L4" s="72" t="s">
        <v>27</v>
      </c>
      <c r="M4" s="72" t="s">
        <v>28</v>
      </c>
      <c r="N4" s="72" t="s">
        <v>29</v>
      </c>
      <c r="O4" s="72" t="s">
        <v>30</v>
      </c>
      <c r="P4" s="72" t="s">
        <v>31</v>
      </c>
      <c r="Q4" s="72" t="s">
        <v>32</v>
      </c>
      <c r="R4" s="72" t="s">
        <v>33</v>
      </c>
      <c r="S4" s="72" t="s">
        <v>34</v>
      </c>
      <c r="T4" s="72" t="s">
        <v>35</v>
      </c>
      <c r="U4" s="72" t="s">
        <v>36</v>
      </c>
      <c r="V4" s="72" t="s">
        <v>123</v>
      </c>
      <c r="W4" s="72" t="s">
        <v>245</v>
      </c>
      <c r="X4" s="72" t="s">
        <v>246</v>
      </c>
      <c r="Y4" s="72" t="s">
        <v>247</v>
      </c>
      <c r="Z4" s="72" t="s">
        <v>248</v>
      </c>
    </row>
    <row r="5" spans="1:26">
      <c r="A5" s="5" t="s">
        <v>367</v>
      </c>
      <c r="B5" s="53"/>
    </row>
    <row r="6" spans="1:26">
      <c r="A6" s="70" t="s">
        <v>366</v>
      </c>
      <c r="B6" s="70" t="s">
        <v>366</v>
      </c>
      <c r="G6">
        <f>G93*0.75</f>
        <v>198905.00058314053</v>
      </c>
      <c r="H6">
        <f t="shared" ref="H6:Z6" si="0">H93</f>
        <v>275077.65960646002</v>
      </c>
      <c r="I6">
        <f t="shared" si="0"/>
        <v>285316.05009701248</v>
      </c>
      <c r="J6">
        <f t="shared" si="0"/>
        <v>295935.51348162332</v>
      </c>
      <c r="K6">
        <f t="shared" si="0"/>
        <v>306950.23329340934</v>
      </c>
      <c r="L6">
        <f t="shared" si="0"/>
        <v>307177.37646604644</v>
      </c>
      <c r="M6">
        <f t="shared" si="0"/>
        <v>307404.68772463134</v>
      </c>
      <c r="N6">
        <f t="shared" si="0"/>
        <v>307632.16719354753</v>
      </c>
      <c r="O6">
        <f t="shared" si="0"/>
        <v>307859.81499727076</v>
      </c>
      <c r="P6">
        <f t="shared" si="0"/>
        <v>308087.63126036874</v>
      </c>
      <c r="Q6">
        <f t="shared" si="0"/>
        <v>308315.61610750132</v>
      </c>
      <c r="R6">
        <f t="shared" si="0"/>
        <v>308543.76966342091</v>
      </c>
      <c r="S6">
        <f t="shared" si="0"/>
        <v>308772.09205297183</v>
      </c>
      <c r="T6">
        <f t="shared" si="0"/>
        <v>309000.58340109099</v>
      </c>
      <c r="U6">
        <f t="shared" si="0"/>
        <v>309229.24383280781</v>
      </c>
      <c r="V6">
        <f t="shared" si="0"/>
        <v>309458.07347324403</v>
      </c>
      <c r="W6">
        <f t="shared" si="0"/>
        <v>309687.07244761434</v>
      </c>
      <c r="X6">
        <f t="shared" si="0"/>
        <v>309916.24088122544</v>
      </c>
      <c r="Y6">
        <f t="shared" si="0"/>
        <v>310145.57889947761</v>
      </c>
      <c r="Z6">
        <f t="shared" si="0"/>
        <v>310375.08662786317</v>
      </c>
    </row>
    <row r="7" spans="1:26">
      <c r="A7" s="70" t="s">
        <v>424</v>
      </c>
      <c r="B7" s="54" t="s">
        <v>425</v>
      </c>
      <c r="C7">
        <f t="shared" ref="C7:E8" si="1">C96</f>
        <v>0</v>
      </c>
      <c r="D7">
        <f t="shared" si="1"/>
        <v>0</v>
      </c>
      <c r="E7">
        <f t="shared" si="1"/>
        <v>0</v>
      </c>
      <c r="F7" s="34">
        <f t="shared" ref="F7:Z7" si="2">F95</f>
        <v>0</v>
      </c>
      <c r="G7" s="34">
        <f t="shared" si="2"/>
        <v>9945.2500291570286</v>
      </c>
      <c r="H7" s="34">
        <f t="shared" si="2"/>
        <v>13753.882980323002</v>
      </c>
      <c r="I7" s="34">
        <f t="shared" si="2"/>
        <v>14265.802504850624</v>
      </c>
      <c r="J7" s="34">
        <f t="shared" si="2"/>
        <v>14796.775674081167</v>
      </c>
      <c r="K7" s="34">
        <f t="shared" si="2"/>
        <v>15347.511664670468</v>
      </c>
      <c r="L7" s="34">
        <f t="shared" si="2"/>
        <v>15358.868823302322</v>
      </c>
      <c r="M7" s="34">
        <f t="shared" si="2"/>
        <v>15370.234386231568</v>
      </c>
      <c r="N7" s="34">
        <f t="shared" si="2"/>
        <v>15381.608359677377</v>
      </c>
      <c r="O7" s="34">
        <f t="shared" si="2"/>
        <v>15392.990749863538</v>
      </c>
      <c r="P7" s="34">
        <f t="shared" si="2"/>
        <v>15404.381563018438</v>
      </c>
      <c r="Q7" s="34">
        <f t="shared" si="2"/>
        <v>15415.780805375067</v>
      </c>
      <c r="R7" s="34">
        <f t="shared" si="2"/>
        <v>15427.188483171047</v>
      </c>
      <c r="S7" s="34">
        <f t="shared" si="2"/>
        <v>15438.604602648593</v>
      </c>
      <c r="T7" s="34">
        <f t="shared" si="2"/>
        <v>15450.029170054549</v>
      </c>
      <c r="U7" s="34">
        <f t="shared" si="2"/>
        <v>15461.462191640392</v>
      </c>
      <c r="V7" s="34">
        <f t="shared" si="2"/>
        <v>15472.903673662202</v>
      </c>
      <c r="W7" s="34">
        <f t="shared" si="2"/>
        <v>15484.353622380717</v>
      </c>
      <c r="X7" s="34">
        <f t="shared" si="2"/>
        <v>15495.812044061273</v>
      </c>
      <c r="Y7" s="34">
        <f t="shared" si="2"/>
        <v>15507.278944973881</v>
      </c>
      <c r="Z7" s="34">
        <f t="shared" si="2"/>
        <v>15518.75433139316</v>
      </c>
    </row>
    <row r="8" spans="1:26">
      <c r="A8" s="70"/>
      <c r="B8" s="78" t="s">
        <v>418</v>
      </c>
      <c r="C8">
        <f t="shared" si="1"/>
        <v>0</v>
      </c>
      <c r="D8">
        <f t="shared" si="1"/>
        <v>0</v>
      </c>
      <c r="E8">
        <f t="shared" si="1"/>
        <v>0</v>
      </c>
      <c r="F8" s="34">
        <f t="shared" ref="F8:Z8" si="3">F96</f>
        <v>0</v>
      </c>
      <c r="G8" s="34">
        <f t="shared" si="3"/>
        <v>9945.2500291570286</v>
      </c>
      <c r="H8" s="34">
        <f t="shared" si="3"/>
        <v>13753.882980323002</v>
      </c>
      <c r="I8" s="34">
        <f t="shared" si="3"/>
        <v>14265.802504850624</v>
      </c>
      <c r="J8" s="34">
        <f t="shared" si="3"/>
        <v>14796.775674081167</v>
      </c>
      <c r="K8" s="34">
        <f t="shared" si="3"/>
        <v>15347.511664670468</v>
      </c>
      <c r="L8" s="34">
        <f t="shared" si="3"/>
        <v>15358.868823302322</v>
      </c>
      <c r="M8" s="34">
        <f t="shared" si="3"/>
        <v>15370.234386231568</v>
      </c>
      <c r="N8" s="34">
        <f t="shared" si="3"/>
        <v>15381.608359677377</v>
      </c>
      <c r="O8" s="34">
        <f t="shared" si="3"/>
        <v>15392.990749863538</v>
      </c>
      <c r="P8" s="34">
        <f t="shared" si="3"/>
        <v>15404.381563018438</v>
      </c>
      <c r="Q8" s="34">
        <f t="shared" si="3"/>
        <v>15415.780805375067</v>
      </c>
      <c r="R8" s="34">
        <f t="shared" si="3"/>
        <v>15427.188483171047</v>
      </c>
      <c r="S8" s="34">
        <f t="shared" si="3"/>
        <v>15438.604602648593</v>
      </c>
      <c r="T8" s="34">
        <f t="shared" si="3"/>
        <v>15450.029170054549</v>
      </c>
      <c r="U8" s="34">
        <f t="shared" si="3"/>
        <v>15461.462191640392</v>
      </c>
      <c r="V8" s="34">
        <f t="shared" si="3"/>
        <v>15472.903673662202</v>
      </c>
      <c r="W8" s="34">
        <f t="shared" si="3"/>
        <v>15484.353622380717</v>
      </c>
      <c r="X8" s="34">
        <f t="shared" si="3"/>
        <v>15495.812044061273</v>
      </c>
      <c r="Y8" s="34">
        <f t="shared" si="3"/>
        <v>15507.278944973881</v>
      </c>
      <c r="Z8" s="34">
        <f t="shared" si="3"/>
        <v>15518.75433139316</v>
      </c>
    </row>
    <row r="9" spans="1:26">
      <c r="A9" s="70"/>
      <c r="B9" s="53"/>
    </row>
    <row r="10" spans="1:26">
      <c r="A10" s="58"/>
      <c r="B10" s="70"/>
    </row>
    <row r="11" spans="1:26">
      <c r="A11" s="5" t="s">
        <v>277</v>
      </c>
      <c r="B11" s="53"/>
    </row>
    <row r="12" spans="1:26">
      <c r="A12" s="70" t="s">
        <v>366</v>
      </c>
      <c r="B12" s="70" t="s">
        <v>366</v>
      </c>
      <c r="G12">
        <f>G100*0.75</f>
        <v>3871.04959569941</v>
      </c>
      <c r="H12">
        <f t="shared" ref="H12:Z12" si="4">H100</f>
        <v>5353.5067488684554</v>
      </c>
      <c r="I12">
        <f t="shared" si="4"/>
        <v>5552.7642700613387</v>
      </c>
      <c r="J12">
        <f t="shared" si="4"/>
        <v>5759.4381561930222</v>
      </c>
      <c r="K12">
        <f t="shared" si="4"/>
        <v>5973.8044443665267</v>
      </c>
      <c r="L12">
        <f t="shared" si="4"/>
        <v>5978.2250596553586</v>
      </c>
      <c r="M12">
        <f t="shared" si="4"/>
        <v>5982.6489461995034</v>
      </c>
      <c r="N12">
        <f t="shared" si="4"/>
        <v>5987.0761064196904</v>
      </c>
      <c r="O12">
        <f t="shared" si="4"/>
        <v>5991.5065427384407</v>
      </c>
      <c r="P12">
        <f t="shared" si="4"/>
        <v>5995.9402575800668</v>
      </c>
      <c r="Q12">
        <f t="shared" si="4"/>
        <v>6000.377253370677</v>
      </c>
      <c r="R12">
        <f t="shared" si="4"/>
        <v>6004.8175325381708</v>
      </c>
      <c r="S12">
        <f t="shared" si="4"/>
        <v>6009.2610975122489</v>
      </c>
      <c r="T12">
        <f t="shared" si="4"/>
        <v>6013.7079507244071</v>
      </c>
      <c r="U12">
        <f t="shared" si="4"/>
        <v>6018.158094607943</v>
      </c>
      <c r="V12">
        <f t="shared" si="4"/>
        <v>6022.6115315979523</v>
      </c>
      <c r="W12">
        <f t="shared" si="4"/>
        <v>6027.0682641313351</v>
      </c>
      <c r="X12">
        <f t="shared" si="4"/>
        <v>6031.5282946467923</v>
      </c>
      <c r="Y12">
        <f t="shared" si="4"/>
        <v>6035.9916255848302</v>
      </c>
      <c r="Z12">
        <f t="shared" si="4"/>
        <v>6040.4582593877622</v>
      </c>
    </row>
    <row r="13" spans="1:26">
      <c r="A13" s="70" t="s">
        <v>415</v>
      </c>
      <c r="B13" s="54" t="s">
        <v>433</v>
      </c>
      <c r="C13">
        <f>C101</f>
        <v>0</v>
      </c>
      <c r="D13">
        <f t="shared" ref="D13:Z13" si="5">D101</f>
        <v>0</v>
      </c>
      <c r="E13">
        <f t="shared" si="5"/>
        <v>0</v>
      </c>
      <c r="F13">
        <f t="shared" si="5"/>
        <v>0</v>
      </c>
      <c r="G13">
        <f t="shared" si="5"/>
        <v>193.5524797849705</v>
      </c>
      <c r="H13">
        <f t="shared" si="5"/>
        <v>267.67533744342279</v>
      </c>
      <c r="I13">
        <f t="shared" si="5"/>
        <v>277.63821350306694</v>
      </c>
      <c r="J13">
        <f t="shared" si="5"/>
        <v>287.9719078096511</v>
      </c>
      <c r="K13">
        <f t="shared" si="5"/>
        <v>298.69022221832637</v>
      </c>
      <c r="L13">
        <f t="shared" si="5"/>
        <v>298.91125298276796</v>
      </c>
      <c r="M13">
        <f t="shared" si="5"/>
        <v>299.13244730997519</v>
      </c>
      <c r="N13">
        <f t="shared" si="5"/>
        <v>299.35380532098452</v>
      </c>
      <c r="O13">
        <f t="shared" si="5"/>
        <v>299.57532713692206</v>
      </c>
      <c r="P13">
        <f t="shared" si="5"/>
        <v>299.79701287900338</v>
      </c>
      <c r="Q13">
        <f t="shared" si="5"/>
        <v>300.01886266853387</v>
      </c>
      <c r="R13">
        <f t="shared" si="5"/>
        <v>300.24087662690857</v>
      </c>
      <c r="S13">
        <f t="shared" si="5"/>
        <v>300.46305487561244</v>
      </c>
      <c r="T13">
        <f t="shared" si="5"/>
        <v>300.68539753622036</v>
      </c>
      <c r="U13">
        <f t="shared" si="5"/>
        <v>300.90790473039715</v>
      </c>
      <c r="V13">
        <f t="shared" si="5"/>
        <v>301.13057657989765</v>
      </c>
      <c r="W13">
        <f t="shared" si="5"/>
        <v>301.35341320656676</v>
      </c>
      <c r="X13">
        <f t="shared" si="5"/>
        <v>301.57641473233963</v>
      </c>
      <c r="Y13">
        <f t="shared" si="5"/>
        <v>301.79958127924152</v>
      </c>
      <c r="Z13">
        <f t="shared" si="5"/>
        <v>302.02291296938813</v>
      </c>
    </row>
    <row r="14" spans="1:26">
      <c r="A14" s="70"/>
      <c r="B14" s="78" t="s">
        <v>427</v>
      </c>
      <c r="C14">
        <f>C102</f>
        <v>0</v>
      </c>
      <c r="D14">
        <f t="shared" ref="D14:Z14" si="6">D102</f>
        <v>0</v>
      </c>
      <c r="E14">
        <f t="shared" si="6"/>
        <v>0</v>
      </c>
      <c r="F14">
        <f t="shared" si="6"/>
        <v>0</v>
      </c>
      <c r="G14">
        <f t="shared" si="6"/>
        <v>193.5524797849705</v>
      </c>
      <c r="H14">
        <f t="shared" si="6"/>
        <v>267.67533744342279</v>
      </c>
      <c r="I14">
        <f t="shared" si="6"/>
        <v>277.63821350306694</v>
      </c>
      <c r="J14">
        <f t="shared" si="6"/>
        <v>287.9719078096511</v>
      </c>
      <c r="K14">
        <f t="shared" si="6"/>
        <v>298.69022221832637</v>
      </c>
      <c r="L14">
        <f t="shared" si="6"/>
        <v>298.91125298276796</v>
      </c>
      <c r="M14">
        <f t="shared" si="6"/>
        <v>299.13244730997519</v>
      </c>
      <c r="N14">
        <f t="shared" si="6"/>
        <v>299.35380532098452</v>
      </c>
      <c r="O14">
        <f t="shared" si="6"/>
        <v>299.57532713692206</v>
      </c>
      <c r="P14">
        <f t="shared" si="6"/>
        <v>299.79701287900338</v>
      </c>
      <c r="Q14">
        <f t="shared" si="6"/>
        <v>300.01886266853387</v>
      </c>
      <c r="R14">
        <f t="shared" si="6"/>
        <v>300.24087662690857</v>
      </c>
      <c r="S14">
        <f t="shared" si="6"/>
        <v>300.46305487561244</v>
      </c>
      <c r="T14">
        <f t="shared" si="6"/>
        <v>300.68539753622036</v>
      </c>
      <c r="U14">
        <f t="shared" si="6"/>
        <v>300.90790473039715</v>
      </c>
      <c r="V14">
        <f t="shared" si="6"/>
        <v>301.13057657989765</v>
      </c>
      <c r="W14">
        <f t="shared" si="6"/>
        <v>301.35341320656676</v>
      </c>
      <c r="X14">
        <f t="shared" si="6"/>
        <v>301.57641473233963</v>
      </c>
      <c r="Y14">
        <f t="shared" si="6"/>
        <v>301.79958127924152</v>
      </c>
      <c r="Z14">
        <f t="shared" si="6"/>
        <v>302.02291296938813</v>
      </c>
    </row>
    <row r="15" spans="1:26">
      <c r="A15" s="70"/>
      <c r="B15" s="48"/>
    </row>
    <row r="16" spans="1:26">
      <c r="A16" s="5" t="s">
        <v>413</v>
      </c>
      <c r="B16" s="53"/>
    </row>
    <row r="17" spans="1:26">
      <c r="A17" s="70" t="s">
        <v>415</v>
      </c>
      <c r="B17" s="47" t="s">
        <v>95</v>
      </c>
      <c r="F17">
        <f t="shared" ref="F17:Z22" si="7">F108</f>
        <v>0</v>
      </c>
      <c r="G17">
        <f t="shared" si="7"/>
        <v>6750</v>
      </c>
      <c r="H17">
        <f t="shared" si="7"/>
        <v>9216.25</v>
      </c>
      <c r="I17">
        <f t="shared" si="7"/>
        <v>9308.4125000000004</v>
      </c>
      <c r="J17">
        <f t="shared" si="7"/>
        <v>9401.4966250000016</v>
      </c>
      <c r="K17">
        <f t="shared" si="7"/>
        <v>9495.5115912500005</v>
      </c>
      <c r="L17">
        <f t="shared" si="7"/>
        <v>9590.466707162499</v>
      </c>
      <c r="M17">
        <f t="shared" si="7"/>
        <v>9686.3713742341261</v>
      </c>
      <c r="N17">
        <f t="shared" si="7"/>
        <v>9783.235087976469</v>
      </c>
      <c r="O17">
        <f t="shared" si="7"/>
        <v>9881.0674388562329</v>
      </c>
      <c r="P17">
        <f t="shared" si="7"/>
        <v>9979.8781132447948</v>
      </c>
      <c r="Q17">
        <f t="shared" si="7"/>
        <v>10079.676894377242</v>
      </c>
      <c r="R17">
        <f t="shared" si="7"/>
        <v>10180.473663321014</v>
      </c>
      <c r="S17">
        <f t="shared" si="7"/>
        <v>10282.278399954226</v>
      </c>
      <c r="T17">
        <f t="shared" si="7"/>
        <v>10385.101183953768</v>
      </c>
      <c r="U17">
        <f t="shared" si="7"/>
        <v>10488.952195793305</v>
      </c>
      <c r="V17">
        <f t="shared" si="7"/>
        <v>10593.841717751238</v>
      </c>
      <c r="W17">
        <f t="shared" si="7"/>
        <v>10699.780134928751</v>
      </c>
      <c r="X17">
        <f t="shared" si="7"/>
        <v>10806.777936278038</v>
      </c>
      <c r="Y17">
        <f t="shared" si="7"/>
        <v>10914.845715640819</v>
      </c>
      <c r="Z17">
        <f t="shared" si="7"/>
        <v>11023.994172797227</v>
      </c>
    </row>
    <row r="18" spans="1:26">
      <c r="A18" s="70"/>
      <c r="B18" s="78" t="s">
        <v>510</v>
      </c>
      <c r="F18">
        <f t="shared" ref="F18:S18" si="8">F109</f>
        <v>0</v>
      </c>
      <c r="G18">
        <f t="shared" si="8"/>
        <v>3375</v>
      </c>
      <c r="H18">
        <f t="shared" si="8"/>
        <v>4608.125</v>
      </c>
      <c r="I18">
        <f t="shared" si="8"/>
        <v>4654.2062500000002</v>
      </c>
      <c r="J18">
        <f t="shared" si="8"/>
        <v>4700.7483125000008</v>
      </c>
      <c r="K18">
        <f t="shared" si="8"/>
        <v>4747.7557956250002</v>
      </c>
      <c r="L18">
        <f t="shared" si="8"/>
        <v>4795.2333535812495</v>
      </c>
      <c r="M18">
        <f t="shared" si="8"/>
        <v>4843.185687117063</v>
      </c>
      <c r="N18">
        <f t="shared" si="8"/>
        <v>4891.6175439882345</v>
      </c>
      <c r="O18">
        <f t="shared" si="8"/>
        <v>4940.5337194281165</v>
      </c>
      <c r="P18">
        <f t="shared" si="8"/>
        <v>4989.9390566223974</v>
      </c>
      <c r="Q18">
        <f t="shared" si="8"/>
        <v>5039.8384471886211</v>
      </c>
      <c r="R18">
        <f t="shared" si="8"/>
        <v>5090.2368316605071</v>
      </c>
      <c r="S18">
        <f t="shared" si="8"/>
        <v>5141.1391999771131</v>
      </c>
      <c r="T18">
        <f t="shared" si="7"/>
        <v>5192.5505919768839</v>
      </c>
      <c r="U18">
        <f t="shared" si="7"/>
        <v>5244.4760978966524</v>
      </c>
      <c r="V18">
        <f t="shared" si="7"/>
        <v>5296.9208588756192</v>
      </c>
      <c r="W18">
        <f t="shared" si="7"/>
        <v>5349.8900674643755</v>
      </c>
      <c r="X18">
        <f t="shared" si="7"/>
        <v>5403.3889681390192</v>
      </c>
      <c r="Y18">
        <f t="shared" si="7"/>
        <v>5457.4228578204093</v>
      </c>
      <c r="Z18">
        <f t="shared" si="7"/>
        <v>5511.9970863986136</v>
      </c>
    </row>
    <row r="19" spans="1:26">
      <c r="A19" s="70"/>
      <c r="B19" s="47" t="s">
        <v>148</v>
      </c>
      <c r="F19">
        <f t="shared" si="7"/>
        <v>0</v>
      </c>
      <c r="G19">
        <f t="shared" si="7"/>
        <v>3375</v>
      </c>
      <c r="H19">
        <f t="shared" si="7"/>
        <v>4608.125</v>
      </c>
      <c r="I19">
        <f t="shared" si="7"/>
        <v>4654.2062500000002</v>
      </c>
      <c r="J19">
        <f t="shared" si="7"/>
        <v>4700.7483125000008</v>
      </c>
      <c r="K19">
        <f t="shared" si="7"/>
        <v>4747.7557956250002</v>
      </c>
      <c r="L19">
        <f t="shared" si="7"/>
        <v>4795.2333535812495</v>
      </c>
      <c r="M19">
        <f t="shared" si="7"/>
        <v>4843.185687117063</v>
      </c>
      <c r="N19">
        <f t="shared" si="7"/>
        <v>4891.6175439882345</v>
      </c>
      <c r="O19">
        <f t="shared" si="7"/>
        <v>4940.5337194281165</v>
      </c>
      <c r="P19">
        <f t="shared" si="7"/>
        <v>4989.9390566223974</v>
      </c>
      <c r="Q19">
        <f t="shared" si="7"/>
        <v>5039.8384471886211</v>
      </c>
      <c r="R19">
        <f t="shared" si="7"/>
        <v>5090.2368316605071</v>
      </c>
      <c r="S19">
        <f t="shared" si="7"/>
        <v>5141.1391999771131</v>
      </c>
      <c r="T19">
        <f t="shared" si="7"/>
        <v>5192.5505919768839</v>
      </c>
      <c r="U19">
        <f t="shared" si="7"/>
        <v>5244.4760978966524</v>
      </c>
      <c r="V19">
        <f t="shared" si="7"/>
        <v>5296.9208588756192</v>
      </c>
      <c r="W19">
        <f t="shared" si="7"/>
        <v>5349.8900674643755</v>
      </c>
      <c r="X19">
        <f t="shared" si="7"/>
        <v>5403.3889681390192</v>
      </c>
      <c r="Y19">
        <f t="shared" si="7"/>
        <v>5457.4228578204093</v>
      </c>
      <c r="Z19">
        <f t="shared" si="7"/>
        <v>5511.9970863986136</v>
      </c>
    </row>
    <row r="20" spans="1:26">
      <c r="A20" s="70"/>
      <c r="B20" s="78" t="s">
        <v>437</v>
      </c>
      <c r="F20">
        <f t="shared" si="7"/>
        <v>0</v>
      </c>
      <c r="G20">
        <f t="shared" si="7"/>
        <v>10125</v>
      </c>
      <c r="H20">
        <f t="shared" si="7"/>
        <v>13824.375</v>
      </c>
      <c r="I20">
        <f t="shared" si="7"/>
        <v>13962.61875</v>
      </c>
      <c r="J20">
        <f t="shared" si="7"/>
        <v>14102.244937500001</v>
      </c>
      <c r="K20">
        <f t="shared" si="7"/>
        <v>14243.267386874999</v>
      </c>
      <c r="L20">
        <f t="shared" si="7"/>
        <v>14385.700060743749</v>
      </c>
      <c r="M20">
        <f t="shared" si="7"/>
        <v>14529.55706135119</v>
      </c>
      <c r="N20">
        <f t="shared" si="7"/>
        <v>14674.852631964701</v>
      </c>
      <c r="O20">
        <f t="shared" si="7"/>
        <v>14821.601158284346</v>
      </c>
      <c r="P20">
        <f t="shared" si="7"/>
        <v>14969.81716986719</v>
      </c>
      <c r="Q20">
        <f t="shared" si="7"/>
        <v>15119.515341565862</v>
      </c>
      <c r="R20">
        <f t="shared" si="7"/>
        <v>15270.71049498152</v>
      </c>
      <c r="S20">
        <f t="shared" si="7"/>
        <v>15423.417599931337</v>
      </c>
      <c r="T20">
        <f t="shared" si="7"/>
        <v>15577.651775930648</v>
      </c>
      <c r="U20">
        <f t="shared" si="7"/>
        <v>15733.428293689956</v>
      </c>
      <c r="V20">
        <f t="shared" si="7"/>
        <v>15890.762576626857</v>
      </c>
      <c r="W20">
        <f t="shared" si="7"/>
        <v>16049.670202393125</v>
      </c>
      <c r="X20">
        <f t="shared" si="7"/>
        <v>16210.166904417056</v>
      </c>
      <c r="Y20">
        <f t="shared" si="7"/>
        <v>16372.268573461224</v>
      </c>
      <c r="Z20">
        <f t="shared" si="7"/>
        <v>16535.991259195838</v>
      </c>
    </row>
    <row r="21" spans="1:26">
      <c r="A21" s="70"/>
      <c r="B21" s="47" t="s">
        <v>152</v>
      </c>
      <c r="F21">
        <f t="shared" si="7"/>
        <v>0</v>
      </c>
      <c r="G21">
        <f t="shared" si="7"/>
        <v>10125</v>
      </c>
      <c r="H21">
        <f t="shared" si="7"/>
        <v>13824.375</v>
      </c>
      <c r="I21">
        <f t="shared" si="7"/>
        <v>13962.61875</v>
      </c>
      <c r="J21">
        <f t="shared" si="7"/>
        <v>14102.244937500001</v>
      </c>
      <c r="K21">
        <f t="shared" si="7"/>
        <v>14243.267386874999</v>
      </c>
      <c r="L21">
        <f t="shared" si="7"/>
        <v>14385.700060743749</v>
      </c>
      <c r="M21">
        <f t="shared" si="7"/>
        <v>14529.55706135119</v>
      </c>
      <c r="N21">
        <f t="shared" si="7"/>
        <v>14674.852631964701</v>
      </c>
      <c r="O21">
        <f t="shared" si="7"/>
        <v>14821.601158284346</v>
      </c>
      <c r="P21">
        <f t="shared" si="7"/>
        <v>14969.81716986719</v>
      </c>
      <c r="Q21">
        <f t="shared" si="7"/>
        <v>15119.515341565862</v>
      </c>
      <c r="R21">
        <f t="shared" si="7"/>
        <v>15270.71049498152</v>
      </c>
      <c r="S21">
        <f t="shared" si="7"/>
        <v>15423.417599931337</v>
      </c>
      <c r="T21">
        <f t="shared" si="7"/>
        <v>15577.651775930648</v>
      </c>
      <c r="U21">
        <f t="shared" si="7"/>
        <v>15733.428293689956</v>
      </c>
      <c r="V21">
        <f t="shared" si="7"/>
        <v>15890.762576626857</v>
      </c>
      <c r="W21">
        <f t="shared" si="7"/>
        <v>16049.670202393125</v>
      </c>
      <c r="X21">
        <f t="shared" si="7"/>
        <v>16210.166904417056</v>
      </c>
      <c r="Y21">
        <f t="shared" si="7"/>
        <v>16372.268573461224</v>
      </c>
      <c r="Z21">
        <f t="shared" si="7"/>
        <v>16535.991259195838</v>
      </c>
    </row>
    <row r="22" spans="1:26">
      <c r="A22" s="70"/>
      <c r="B22" s="78" t="s">
        <v>442</v>
      </c>
      <c r="F22">
        <f t="shared" si="7"/>
        <v>0</v>
      </c>
      <c r="G22">
        <f t="shared" si="7"/>
        <v>16875</v>
      </c>
      <c r="H22">
        <f t="shared" si="7"/>
        <v>23040.625</v>
      </c>
      <c r="I22">
        <f t="shared" si="7"/>
        <v>23271.03125</v>
      </c>
      <c r="J22">
        <f t="shared" si="7"/>
        <v>23503.741562500003</v>
      </c>
      <c r="K22">
        <f t="shared" si="7"/>
        <v>23738.778978124999</v>
      </c>
      <c r="L22">
        <f t="shared" si="7"/>
        <v>23976.166767906248</v>
      </c>
      <c r="M22">
        <f t="shared" si="7"/>
        <v>24215.928435585316</v>
      </c>
      <c r="N22">
        <f t="shared" si="7"/>
        <v>24458.08771994117</v>
      </c>
      <c r="O22">
        <f t="shared" si="7"/>
        <v>24702.668597140579</v>
      </c>
      <c r="P22">
        <f t="shared" si="7"/>
        <v>24949.695283111985</v>
      </c>
      <c r="Q22">
        <f t="shared" si="7"/>
        <v>25199.192235943105</v>
      </c>
      <c r="R22">
        <f t="shared" si="7"/>
        <v>25451.184158302534</v>
      </c>
      <c r="S22">
        <f t="shared" si="7"/>
        <v>25705.695999885564</v>
      </c>
      <c r="T22">
        <f t="shared" si="7"/>
        <v>25962.752959884416</v>
      </c>
      <c r="U22">
        <f t="shared" si="7"/>
        <v>26222.380489483261</v>
      </c>
      <c r="V22">
        <f t="shared" si="7"/>
        <v>26484.604294378096</v>
      </c>
      <c r="W22">
        <f t="shared" si="7"/>
        <v>26749.450337321876</v>
      </c>
      <c r="X22">
        <f t="shared" si="7"/>
        <v>27016.944840695094</v>
      </c>
      <c r="Y22">
        <f t="shared" si="7"/>
        <v>27287.114289102043</v>
      </c>
      <c r="Z22">
        <f t="shared" si="7"/>
        <v>27559.985431993067</v>
      </c>
    </row>
    <row r="23" spans="1:26">
      <c r="A23" s="70"/>
      <c r="B23" s="78" t="s">
        <v>473</v>
      </c>
      <c r="F23">
        <f>F114</f>
        <v>0</v>
      </c>
      <c r="G23">
        <f t="shared" ref="G23:Z23" si="9">G114</f>
        <v>16875</v>
      </c>
      <c r="H23">
        <f t="shared" si="9"/>
        <v>23040.625</v>
      </c>
      <c r="I23">
        <f t="shared" si="9"/>
        <v>23271.03125</v>
      </c>
      <c r="J23">
        <f t="shared" si="9"/>
        <v>23503.741562500003</v>
      </c>
      <c r="K23">
        <f t="shared" si="9"/>
        <v>23738.778978124999</v>
      </c>
      <c r="L23">
        <f t="shared" si="9"/>
        <v>23976.166767906248</v>
      </c>
      <c r="M23">
        <f t="shared" si="9"/>
        <v>24215.928435585316</v>
      </c>
      <c r="N23">
        <f t="shared" si="9"/>
        <v>24458.08771994117</v>
      </c>
      <c r="O23">
        <f t="shared" si="9"/>
        <v>24702.668597140579</v>
      </c>
      <c r="P23">
        <f t="shared" si="9"/>
        <v>24949.695283111985</v>
      </c>
      <c r="Q23">
        <f t="shared" si="9"/>
        <v>25199.192235943105</v>
      </c>
      <c r="R23">
        <f t="shared" si="9"/>
        <v>25451.184158302534</v>
      </c>
      <c r="S23">
        <f t="shared" si="9"/>
        <v>25705.695999885564</v>
      </c>
      <c r="T23">
        <f t="shared" si="9"/>
        <v>25962.752959884416</v>
      </c>
      <c r="U23">
        <f t="shared" si="9"/>
        <v>26222.380489483261</v>
      </c>
      <c r="V23">
        <f t="shared" si="9"/>
        <v>26484.604294378096</v>
      </c>
      <c r="W23">
        <f t="shared" si="9"/>
        <v>26749.450337321876</v>
      </c>
      <c r="X23">
        <f t="shared" si="9"/>
        <v>27016.944840695094</v>
      </c>
      <c r="Y23">
        <f t="shared" si="9"/>
        <v>27287.114289102043</v>
      </c>
      <c r="Z23">
        <f t="shared" si="9"/>
        <v>27559.985431993067</v>
      </c>
    </row>
    <row r="24" spans="1:26">
      <c r="A24" s="70"/>
      <c r="B24" s="53"/>
    </row>
    <row r="25" spans="1:26">
      <c r="A25" s="5" t="s">
        <v>368</v>
      </c>
      <c r="B25" s="53"/>
    </row>
    <row r="26" spans="1:26">
      <c r="A26" s="70" t="s">
        <v>366</v>
      </c>
      <c r="B26" s="70" t="s">
        <v>366</v>
      </c>
      <c r="G26">
        <f>G117*0.75</f>
        <v>1831.6613099196252</v>
      </c>
      <c r="H26">
        <f t="shared" ref="H26:Z26" si="10">H117</f>
        <v>2533.1143251664439</v>
      </c>
      <c r="I26">
        <f t="shared" si="10"/>
        <v>2627.3968403491394</v>
      </c>
      <c r="J26">
        <f t="shared" si="10"/>
        <v>2725.1885507469347</v>
      </c>
      <c r="K26">
        <f t="shared" si="10"/>
        <v>2826.6200686057359</v>
      </c>
      <c r="L26">
        <f t="shared" si="10"/>
        <v>2828.7117674565038</v>
      </c>
      <c r="M26">
        <f t="shared" si="10"/>
        <v>2830.8050141644217</v>
      </c>
      <c r="N26">
        <f t="shared" si="10"/>
        <v>2832.899809874903</v>
      </c>
      <c r="O26">
        <f t="shared" si="10"/>
        <v>2834.9961557342103</v>
      </c>
      <c r="P26">
        <f t="shared" si="10"/>
        <v>2837.0940528894535</v>
      </c>
      <c r="Q26">
        <f t="shared" si="10"/>
        <v>2839.1935024885915</v>
      </c>
      <c r="R26">
        <f t="shared" si="10"/>
        <v>2841.2945056804333</v>
      </c>
      <c r="S26">
        <f t="shared" si="10"/>
        <v>2843.3970636146364</v>
      </c>
      <c r="T26">
        <f t="shared" si="10"/>
        <v>2845.5011774417108</v>
      </c>
      <c r="U26">
        <f t="shared" si="10"/>
        <v>2847.6068483130175</v>
      </c>
      <c r="V26">
        <f t="shared" si="10"/>
        <v>2849.7140773807696</v>
      </c>
      <c r="W26">
        <f t="shared" si="10"/>
        <v>2851.8228657980312</v>
      </c>
      <c r="X26">
        <f t="shared" si="10"/>
        <v>2853.9332147187215</v>
      </c>
      <c r="Y26">
        <f t="shared" si="10"/>
        <v>2856.0451252976136</v>
      </c>
      <c r="Z26">
        <f t="shared" si="10"/>
        <v>2858.1585986903333</v>
      </c>
    </row>
    <row r="27" spans="1:26">
      <c r="A27" s="70" t="s">
        <v>415</v>
      </c>
      <c r="B27" s="54" t="s">
        <v>434</v>
      </c>
      <c r="F27">
        <f t="shared" ref="F27:Z27" si="11">F118</f>
        <v>0</v>
      </c>
      <c r="G27">
        <f t="shared" si="11"/>
        <v>457.9153274799063</v>
      </c>
      <c r="H27">
        <f t="shared" si="11"/>
        <v>633.27858129161098</v>
      </c>
      <c r="I27">
        <f t="shared" si="11"/>
        <v>656.84921008728486</v>
      </c>
      <c r="J27">
        <f t="shared" si="11"/>
        <v>681.29713768673366</v>
      </c>
      <c r="K27">
        <f t="shared" si="11"/>
        <v>706.65501715143398</v>
      </c>
      <c r="L27">
        <f t="shared" si="11"/>
        <v>707.17794186412596</v>
      </c>
      <c r="M27">
        <f t="shared" si="11"/>
        <v>707.70125354110542</v>
      </c>
      <c r="N27">
        <f t="shared" si="11"/>
        <v>708.22495246872575</v>
      </c>
      <c r="O27">
        <f t="shared" si="11"/>
        <v>708.74903893355258</v>
      </c>
      <c r="P27">
        <f t="shared" si="11"/>
        <v>709.27351322236336</v>
      </c>
      <c r="Q27">
        <f t="shared" si="11"/>
        <v>709.79837562214789</v>
      </c>
      <c r="R27">
        <f t="shared" si="11"/>
        <v>710.32362642010833</v>
      </c>
      <c r="S27">
        <f t="shared" si="11"/>
        <v>710.8492659036591</v>
      </c>
      <c r="T27">
        <f t="shared" si="11"/>
        <v>711.37529436042769</v>
      </c>
      <c r="U27">
        <f t="shared" si="11"/>
        <v>711.90171207825438</v>
      </c>
      <c r="V27">
        <f t="shared" si="11"/>
        <v>712.4285193451924</v>
      </c>
      <c r="W27">
        <f t="shared" si="11"/>
        <v>712.9557164495078</v>
      </c>
      <c r="X27">
        <f t="shared" si="11"/>
        <v>713.48330367968038</v>
      </c>
      <c r="Y27">
        <f t="shared" si="11"/>
        <v>714.0112813244034</v>
      </c>
      <c r="Z27">
        <f t="shared" si="11"/>
        <v>714.53964967258332</v>
      </c>
    </row>
    <row r="28" spans="1:26">
      <c r="A28" s="70"/>
      <c r="B28" s="78" t="s">
        <v>435</v>
      </c>
      <c r="F28">
        <f t="shared" ref="F28:Z28" si="12">F119</f>
        <v>0</v>
      </c>
      <c r="G28">
        <f t="shared" si="12"/>
        <v>274.74919648794378</v>
      </c>
      <c r="H28">
        <f t="shared" si="12"/>
        <v>379.96714877496657</v>
      </c>
      <c r="I28">
        <f t="shared" si="12"/>
        <v>394.10952605237088</v>
      </c>
      <c r="J28">
        <f t="shared" si="12"/>
        <v>408.77828261204019</v>
      </c>
      <c r="K28">
        <f t="shared" si="12"/>
        <v>423.99301029086035</v>
      </c>
      <c r="L28">
        <f t="shared" si="12"/>
        <v>424.30676511847554</v>
      </c>
      <c r="M28">
        <f t="shared" si="12"/>
        <v>424.62075212466323</v>
      </c>
      <c r="N28">
        <f t="shared" si="12"/>
        <v>424.93497148123544</v>
      </c>
      <c r="O28">
        <f t="shared" si="12"/>
        <v>425.24942336013152</v>
      </c>
      <c r="P28">
        <f t="shared" si="12"/>
        <v>425.56410793341803</v>
      </c>
      <c r="Q28">
        <f t="shared" si="12"/>
        <v>425.8790253732887</v>
      </c>
      <c r="R28">
        <f t="shared" si="12"/>
        <v>426.19417585206497</v>
      </c>
      <c r="S28">
        <f t="shared" si="12"/>
        <v>426.50955954219546</v>
      </c>
      <c r="T28">
        <f t="shared" si="12"/>
        <v>426.82517661625661</v>
      </c>
      <c r="U28">
        <f t="shared" si="12"/>
        <v>427.1410272469526</v>
      </c>
      <c r="V28">
        <f t="shared" si="12"/>
        <v>427.45711160711545</v>
      </c>
      <c r="W28">
        <f t="shared" si="12"/>
        <v>427.77342986970467</v>
      </c>
      <c r="X28">
        <f t="shared" si="12"/>
        <v>428.08998220780819</v>
      </c>
      <c r="Y28">
        <f t="shared" si="12"/>
        <v>428.40676879464201</v>
      </c>
      <c r="Z28">
        <f t="shared" si="12"/>
        <v>428.72378980355001</v>
      </c>
    </row>
    <row r="29" spans="1:26">
      <c r="A29" s="70"/>
      <c r="B29" s="53"/>
    </row>
    <row r="30" spans="1:26">
      <c r="A30" s="5" t="s">
        <v>369</v>
      </c>
      <c r="B30" s="53"/>
    </row>
    <row r="31" spans="1:26">
      <c r="A31" s="5"/>
      <c r="B31" s="244" t="s">
        <v>527</v>
      </c>
      <c r="C31">
        <f>(82025+61600)/2</f>
        <v>71812.5</v>
      </c>
      <c r="D31">
        <f t="shared" ref="D31:Z31" si="13">(82025+61600)/2</f>
        <v>71812.5</v>
      </c>
      <c r="E31">
        <f t="shared" si="13"/>
        <v>71812.5</v>
      </c>
      <c r="F31">
        <f t="shared" si="13"/>
        <v>71812.5</v>
      </c>
      <c r="G31">
        <f t="shared" si="13"/>
        <v>71812.5</v>
      </c>
      <c r="H31">
        <f t="shared" si="13"/>
        <v>71812.5</v>
      </c>
      <c r="I31">
        <f t="shared" si="13"/>
        <v>71812.5</v>
      </c>
      <c r="J31">
        <f t="shared" si="13"/>
        <v>71812.5</v>
      </c>
      <c r="K31">
        <f t="shared" si="13"/>
        <v>71812.5</v>
      </c>
      <c r="L31">
        <f t="shared" si="13"/>
        <v>71812.5</v>
      </c>
      <c r="M31">
        <f t="shared" si="13"/>
        <v>71812.5</v>
      </c>
      <c r="N31">
        <f t="shared" si="13"/>
        <v>71812.5</v>
      </c>
      <c r="O31">
        <f t="shared" si="13"/>
        <v>71812.5</v>
      </c>
      <c r="P31">
        <f t="shared" si="13"/>
        <v>71812.5</v>
      </c>
      <c r="Q31">
        <f t="shared" si="13"/>
        <v>71812.5</v>
      </c>
      <c r="R31">
        <f t="shared" si="13"/>
        <v>71812.5</v>
      </c>
      <c r="S31">
        <f t="shared" si="13"/>
        <v>71812.5</v>
      </c>
      <c r="T31">
        <f t="shared" si="13"/>
        <v>71812.5</v>
      </c>
      <c r="U31">
        <f t="shared" si="13"/>
        <v>71812.5</v>
      </c>
      <c r="V31">
        <f t="shared" si="13"/>
        <v>71812.5</v>
      </c>
      <c r="W31">
        <f t="shared" si="13"/>
        <v>71812.5</v>
      </c>
      <c r="X31">
        <f t="shared" si="13"/>
        <v>71812.5</v>
      </c>
      <c r="Y31">
        <f t="shared" si="13"/>
        <v>71812.5</v>
      </c>
      <c r="Z31">
        <f t="shared" si="13"/>
        <v>71812.5</v>
      </c>
    </row>
    <row r="32" spans="1:26">
      <c r="A32" s="5"/>
      <c r="B32" s="244" t="s">
        <v>528</v>
      </c>
      <c r="C32">
        <f>(7550+13750)/2</f>
        <v>10650</v>
      </c>
      <c r="D32">
        <f t="shared" ref="D32:Z32" si="14">(7550+13750)/2</f>
        <v>10650</v>
      </c>
      <c r="E32">
        <f t="shared" si="14"/>
        <v>10650</v>
      </c>
      <c r="F32">
        <f t="shared" si="14"/>
        <v>10650</v>
      </c>
      <c r="G32">
        <f t="shared" si="14"/>
        <v>10650</v>
      </c>
      <c r="H32">
        <f t="shared" si="14"/>
        <v>10650</v>
      </c>
      <c r="I32">
        <f t="shared" si="14"/>
        <v>10650</v>
      </c>
      <c r="J32">
        <f t="shared" si="14"/>
        <v>10650</v>
      </c>
      <c r="K32">
        <f t="shared" si="14"/>
        <v>10650</v>
      </c>
      <c r="L32">
        <f t="shared" si="14"/>
        <v>10650</v>
      </c>
      <c r="M32">
        <f t="shared" si="14"/>
        <v>10650</v>
      </c>
      <c r="N32">
        <f t="shared" si="14"/>
        <v>10650</v>
      </c>
      <c r="O32">
        <f t="shared" si="14"/>
        <v>10650</v>
      </c>
      <c r="P32">
        <f t="shared" si="14"/>
        <v>10650</v>
      </c>
      <c r="Q32">
        <f t="shared" si="14"/>
        <v>10650</v>
      </c>
      <c r="R32">
        <f t="shared" si="14"/>
        <v>10650</v>
      </c>
      <c r="S32">
        <f t="shared" si="14"/>
        <v>10650</v>
      </c>
      <c r="T32">
        <f t="shared" si="14"/>
        <v>10650</v>
      </c>
      <c r="U32">
        <f t="shared" si="14"/>
        <v>10650</v>
      </c>
      <c r="V32">
        <f t="shared" si="14"/>
        <v>10650</v>
      </c>
      <c r="W32">
        <f t="shared" si="14"/>
        <v>10650</v>
      </c>
      <c r="X32">
        <f t="shared" si="14"/>
        <v>10650</v>
      </c>
      <c r="Y32">
        <f t="shared" si="14"/>
        <v>10650</v>
      </c>
      <c r="Z32">
        <f t="shared" si="14"/>
        <v>10650</v>
      </c>
    </row>
    <row r="33" spans="1:26">
      <c r="A33" s="5" t="s">
        <v>582</v>
      </c>
      <c r="B33" s="244"/>
    </row>
    <row r="34" spans="1:26">
      <c r="A34" s="70" t="s">
        <v>370</v>
      </c>
      <c r="B34" s="70" t="s">
        <v>366</v>
      </c>
      <c r="C34" s="298"/>
      <c r="D34" s="298"/>
      <c r="E34" s="298">
        <f>(E31+E32)*180</f>
        <v>14843250</v>
      </c>
      <c r="F34" s="298">
        <f>(F31+F32)*270</f>
        <v>22264875</v>
      </c>
      <c r="G34" s="298"/>
      <c r="H34" s="298"/>
      <c r="I34" s="298"/>
      <c r="J34" s="298"/>
      <c r="K34" s="298"/>
      <c r="L34" s="298"/>
      <c r="M34" s="298"/>
      <c r="N34" s="298"/>
      <c r="O34" s="298"/>
      <c r="P34" s="298"/>
      <c r="Q34" s="298"/>
      <c r="R34" s="298"/>
      <c r="S34" s="298"/>
      <c r="T34" s="298"/>
      <c r="U34" s="298"/>
      <c r="V34" s="298"/>
      <c r="W34" s="298"/>
      <c r="X34" s="298"/>
      <c r="Y34" s="298"/>
      <c r="Z34" s="298"/>
    </row>
    <row r="35" spans="1:26">
      <c r="A35" s="70"/>
      <c r="B35" s="70" t="s">
        <v>529</v>
      </c>
      <c r="C35" s="298">
        <f>0.5*C42</f>
        <v>0</v>
      </c>
      <c r="D35" s="298">
        <f>0.5*D42</f>
        <v>0</v>
      </c>
      <c r="E35" s="298">
        <f>0.5*E42</f>
        <v>0</v>
      </c>
      <c r="F35" s="298">
        <v>0</v>
      </c>
      <c r="G35" s="298">
        <f>0.5*G42</f>
        <v>-17110.858918210954</v>
      </c>
      <c r="H35" s="298">
        <f t="shared" ref="H35:Z35" si="15">0.5*H42</f>
        <v>-23455.855949529017</v>
      </c>
      <c r="I35" s="298">
        <f t="shared" si="15"/>
        <v>-23889.866839220489</v>
      </c>
      <c r="J35" s="298">
        <f t="shared" si="15"/>
        <v>-24335.641453538778</v>
      </c>
      <c r="K35" s="298">
        <f t="shared" si="15"/>
        <v>-24793.573736707614</v>
      </c>
      <c r="L35" s="298">
        <f t="shared" si="15"/>
        <v>-24965.795746608983</v>
      </c>
      <c r="M35" s="298">
        <f t="shared" si="15"/>
        <v>-25139.683948451046</v>
      </c>
      <c r="N35" s="298">
        <f t="shared" si="15"/>
        <v>-25315.254962692365</v>
      </c>
      <c r="O35" s="298">
        <f t="shared" si="15"/>
        <v>-25492.52557596541</v>
      </c>
      <c r="P35" s="298">
        <f t="shared" si="15"/>
        <v>-25671.51274273829</v>
      </c>
      <c r="Q35" s="298">
        <f t="shared" si="15"/>
        <v>-25852.233586993047</v>
      </c>
      <c r="R35" s="298">
        <f t="shared" si="15"/>
        <v>-26034.705403920805</v>
      </c>
      <c r="S35" s="298">
        <f t="shared" si="15"/>
        <v>-26218.945661633828</v>
      </c>
      <c r="T35" s="298">
        <f t="shared" si="15"/>
        <v>-26404.97200289469</v>
      </c>
      <c r="U35" s="298">
        <f t="shared" si="15"/>
        <v>-26592.802246862804</v>
      </c>
      <c r="V35" s="298">
        <f t="shared" si="15"/>
        <v>-26782.454390858311</v>
      </c>
      <c r="W35" s="298">
        <f t="shared" si="15"/>
        <v>-26973.946612143707</v>
      </c>
      <c r="X35" s="298">
        <f t="shared" si="15"/>
        <v>-27167.297269723211</v>
      </c>
      <c r="Y35" s="298">
        <f t="shared" si="15"/>
        <v>-27362.524906160193</v>
      </c>
      <c r="Z35" s="298">
        <f t="shared" si="15"/>
        <v>-27559.648249412712</v>
      </c>
    </row>
    <row r="36" spans="1:26">
      <c r="A36" s="70" t="s">
        <v>371</v>
      </c>
      <c r="B36" s="70" t="s">
        <v>366</v>
      </c>
      <c r="C36" s="298"/>
      <c r="D36" s="298"/>
      <c r="E36" s="298"/>
      <c r="F36" s="298"/>
      <c r="G36" s="298">
        <f>((G31+G32)*365)+G35</f>
        <v>30081701.641081788</v>
      </c>
      <c r="H36" s="298">
        <f t="shared" ref="H36:Z36" si="16">((H31+H32)*365)+H35</f>
        <v>30075356.644050471</v>
      </c>
      <c r="I36" s="298">
        <f t="shared" si="16"/>
        <v>30074922.633160781</v>
      </c>
      <c r="J36" s="298">
        <f t="shared" si="16"/>
        <v>30074476.858546462</v>
      </c>
      <c r="K36" s="298">
        <f t="shared" si="16"/>
        <v>30074018.926263291</v>
      </c>
      <c r="L36" s="298">
        <f t="shared" si="16"/>
        <v>30073846.70425339</v>
      </c>
      <c r="M36" s="298">
        <f t="shared" si="16"/>
        <v>30073672.81605155</v>
      </c>
      <c r="N36" s="298">
        <f t="shared" si="16"/>
        <v>30073497.245037306</v>
      </c>
      <c r="O36" s="298">
        <f t="shared" si="16"/>
        <v>30073319.974424034</v>
      </c>
      <c r="P36" s="298">
        <f t="shared" si="16"/>
        <v>30073140.987257261</v>
      </c>
      <c r="Q36" s="298">
        <f t="shared" si="16"/>
        <v>30072960.266413007</v>
      </c>
      <c r="R36" s="298">
        <f t="shared" si="16"/>
        <v>30072777.79459608</v>
      </c>
      <c r="S36" s="298">
        <f t="shared" si="16"/>
        <v>30072593.554338366</v>
      </c>
      <c r="T36" s="298">
        <f t="shared" si="16"/>
        <v>30072407.527997106</v>
      </c>
      <c r="U36" s="298">
        <f t="shared" si="16"/>
        <v>30072219.697753139</v>
      </c>
      <c r="V36" s="298">
        <f t="shared" si="16"/>
        <v>30072030.045609143</v>
      </c>
      <c r="W36" s="298">
        <f t="shared" si="16"/>
        <v>30071838.553387858</v>
      </c>
      <c r="X36" s="298">
        <f t="shared" si="16"/>
        <v>30071645.202730276</v>
      </c>
      <c r="Y36" s="298">
        <f t="shared" si="16"/>
        <v>30071449.975093842</v>
      </c>
      <c r="Z36" s="298">
        <f t="shared" si="16"/>
        <v>30071252.851750586</v>
      </c>
    </row>
    <row r="38" spans="1:26">
      <c r="A38" s="70"/>
    </row>
    <row r="39" spans="1:26">
      <c r="A39" s="70"/>
      <c r="B39" s="58" t="s">
        <v>436</v>
      </c>
    </row>
    <row r="40" spans="1:26">
      <c r="B40" s="78" t="s">
        <v>505</v>
      </c>
      <c r="C40" s="298">
        <f>C7+C8+C13+C14+C22+C23+C27+C28</f>
        <v>0</v>
      </c>
      <c r="D40" s="298">
        <f t="shared" ref="D40:Z40" si="17">D7+D8+D13+D14+D22+D23+D27+D28</f>
        <v>0</v>
      </c>
      <c r="E40" s="298">
        <f t="shared" si="17"/>
        <v>0</v>
      </c>
      <c r="F40" s="298">
        <f t="shared" si="17"/>
        <v>0</v>
      </c>
      <c r="G40" s="298">
        <f>G7+G8+G13+G14+G22+G23+G27+G28</f>
        <v>54760.269541851849</v>
      </c>
      <c r="H40" s="298">
        <f t="shared" si="17"/>
        <v>75137.612365599431</v>
      </c>
      <c r="I40" s="298">
        <f t="shared" si="17"/>
        <v>76679.902672847034</v>
      </c>
      <c r="J40" s="298">
        <f t="shared" si="17"/>
        <v>78267.053709080414</v>
      </c>
      <c r="K40" s="298">
        <f t="shared" si="17"/>
        <v>79900.60975746988</v>
      </c>
      <c r="L40" s="298">
        <f t="shared" si="17"/>
        <v>80399.378395365275</v>
      </c>
      <c r="M40" s="298">
        <f t="shared" si="17"/>
        <v>80902.91254391949</v>
      </c>
      <c r="N40" s="298">
        <f t="shared" si="17"/>
        <v>81411.259693829037</v>
      </c>
      <c r="O40" s="298">
        <f t="shared" si="17"/>
        <v>81924.467810575763</v>
      </c>
      <c r="P40" s="298">
        <f t="shared" si="17"/>
        <v>82442.585339174635</v>
      </c>
      <c r="Q40" s="298">
        <f t="shared" si="17"/>
        <v>82965.661208968857</v>
      </c>
      <c r="R40" s="298">
        <f t="shared" si="17"/>
        <v>83493.744838473154</v>
      </c>
      <c r="S40" s="298">
        <f t="shared" si="17"/>
        <v>84026.8861402654</v>
      </c>
      <c r="T40" s="298">
        <f t="shared" si="17"/>
        <v>84565.135525927064</v>
      </c>
      <c r="U40" s="298">
        <f t="shared" si="17"/>
        <v>85108.543911033295</v>
      </c>
      <c r="V40" s="298">
        <f t="shared" si="17"/>
        <v>85657.162720192704</v>
      </c>
      <c r="W40" s="298">
        <f t="shared" si="17"/>
        <v>86211.043892137532</v>
      </c>
      <c r="X40" s="298">
        <f t="shared" si="17"/>
        <v>86770.239884864903</v>
      </c>
      <c r="Y40" s="298">
        <f t="shared" si="17"/>
        <v>87334.803680829384</v>
      </c>
      <c r="Z40" s="298">
        <f t="shared" si="17"/>
        <v>87904.788792187377</v>
      </c>
    </row>
    <row r="41" spans="1:26">
      <c r="B41" s="78" t="s">
        <v>506</v>
      </c>
      <c r="C41" s="298">
        <f>-C18</f>
        <v>0</v>
      </c>
      <c r="D41" s="298">
        <f t="shared" ref="D41:Z41" si="18">-D18</f>
        <v>0</v>
      </c>
      <c r="E41" s="298">
        <f t="shared" si="18"/>
        <v>0</v>
      </c>
      <c r="F41" s="298">
        <f t="shared" si="18"/>
        <v>0</v>
      </c>
      <c r="G41" s="298">
        <f t="shared" si="18"/>
        <v>-3375</v>
      </c>
      <c r="H41" s="298">
        <f t="shared" si="18"/>
        <v>-4608.125</v>
      </c>
      <c r="I41" s="298">
        <f t="shared" si="18"/>
        <v>-4654.2062500000002</v>
      </c>
      <c r="J41" s="298">
        <f t="shared" si="18"/>
        <v>-4700.7483125000008</v>
      </c>
      <c r="K41" s="298">
        <f t="shared" si="18"/>
        <v>-4747.7557956250002</v>
      </c>
      <c r="L41" s="298">
        <f t="shared" si="18"/>
        <v>-4795.2333535812495</v>
      </c>
      <c r="M41" s="298">
        <f t="shared" si="18"/>
        <v>-4843.185687117063</v>
      </c>
      <c r="N41" s="298">
        <f t="shared" si="18"/>
        <v>-4891.6175439882345</v>
      </c>
      <c r="O41" s="298">
        <f t="shared" si="18"/>
        <v>-4940.5337194281165</v>
      </c>
      <c r="P41" s="298">
        <f t="shared" si="18"/>
        <v>-4989.9390566223974</v>
      </c>
      <c r="Q41" s="298">
        <f t="shared" si="18"/>
        <v>-5039.8384471886211</v>
      </c>
      <c r="R41" s="298">
        <f t="shared" si="18"/>
        <v>-5090.2368316605071</v>
      </c>
      <c r="S41" s="298">
        <f t="shared" si="18"/>
        <v>-5141.1391999771131</v>
      </c>
      <c r="T41" s="298">
        <f t="shared" si="18"/>
        <v>-5192.5505919768839</v>
      </c>
      <c r="U41" s="298">
        <f t="shared" si="18"/>
        <v>-5244.4760978966524</v>
      </c>
      <c r="V41" s="298">
        <f t="shared" si="18"/>
        <v>-5296.9208588756192</v>
      </c>
      <c r="W41" s="298">
        <f t="shared" si="18"/>
        <v>-5349.8900674643755</v>
      </c>
      <c r="X41" s="298">
        <f t="shared" si="18"/>
        <v>-5403.3889681390192</v>
      </c>
      <c r="Y41" s="298">
        <f t="shared" si="18"/>
        <v>-5457.4228578204093</v>
      </c>
      <c r="Z41" s="298">
        <f t="shared" si="18"/>
        <v>-5511.9970863986136</v>
      </c>
    </row>
    <row r="42" spans="1:26">
      <c r="B42" s="78" t="s">
        <v>507</v>
      </c>
      <c r="C42" s="298">
        <f>-(('FG Users'!C7+'FG Users'!C13+'FG Users'!C27+'FG Users'!C22)+('FG Users'!C17))</f>
        <v>0</v>
      </c>
      <c r="D42" s="298">
        <f>-(('FG Users'!D7+'FG Users'!D13+'FG Users'!D27+'FG Users'!D22)+('FG Users'!D17))</f>
        <v>0</v>
      </c>
      <c r="E42" s="298">
        <f>-(('FG Users'!E7+'FG Users'!E13+'FG Users'!E27+'FG Users'!E22)+('FG Users'!E17))</f>
        <v>0</v>
      </c>
      <c r="F42" s="298">
        <f>-(('FG Users'!F7+'FG Users'!F13+'FG Users'!F27+'FG Users'!F22)+('FG Users'!F17))</f>
        <v>0</v>
      </c>
      <c r="G42" s="298">
        <f>-(('FG Users'!G7+'FG Users'!G13+'FG Users'!G27+'FG Users'!G22)+('FG Users'!G17))</f>
        <v>-34221.717836421907</v>
      </c>
      <c r="H42" s="298">
        <f>-(('FG Users'!H7+'FG Users'!H13+'FG Users'!H27+'FG Users'!H22)+('FG Users'!H17))</f>
        <v>-46911.711899058035</v>
      </c>
      <c r="I42" s="298">
        <f>-(('FG Users'!I7+'FG Users'!I13+'FG Users'!I27+'FG Users'!I22)+('FG Users'!I17))</f>
        <v>-47779.733678440978</v>
      </c>
      <c r="J42" s="298">
        <f>-(('FG Users'!J7+'FG Users'!J13+'FG Users'!J27+'FG Users'!J22)+('FG Users'!J17))</f>
        <v>-48671.282907077555</v>
      </c>
      <c r="K42" s="298">
        <f>-(('FG Users'!K7+'FG Users'!K13+'FG Users'!K27+'FG Users'!K22)+('FG Users'!K17))</f>
        <v>-49587.147473415229</v>
      </c>
      <c r="L42" s="298">
        <f>-(('FG Users'!L7+'FG Users'!L13+'FG Users'!L27+'FG Users'!L22)+('FG Users'!L17))</f>
        <v>-49931.591493217966</v>
      </c>
      <c r="M42" s="298">
        <f>-(('FG Users'!M7+'FG Users'!M13+'FG Users'!M27+'FG Users'!M22)+('FG Users'!M17))</f>
        <v>-50279.367896902091</v>
      </c>
      <c r="N42" s="298">
        <f>-(('FG Users'!N7+'FG Users'!N13+'FG Users'!N27+'FG Users'!N22)+('FG Users'!N17))</f>
        <v>-50630.509925384729</v>
      </c>
      <c r="O42" s="298">
        <f>-(('FG Users'!O7+'FG Users'!O13+'FG Users'!O27+'FG Users'!O22)+('FG Users'!O17))</f>
        <v>-50985.05115193082</v>
      </c>
      <c r="P42" s="298">
        <f>-(('FG Users'!P7+'FG Users'!P13+'FG Users'!P27+'FG Users'!P22)+('FG Users'!P17))</f>
        <v>-51343.025485476581</v>
      </c>
      <c r="Q42" s="298">
        <f>-(('FG Users'!Q7+'FG Users'!Q13+'FG Users'!Q27+'FG Users'!Q22)+('FG Users'!Q17))</f>
        <v>-51704.467173986093</v>
      </c>
      <c r="R42" s="298">
        <f>-(('FG Users'!R7+'FG Users'!R13+'FG Users'!R27+'FG Users'!R22)+('FG Users'!R17))</f>
        <v>-52069.41080784161</v>
      </c>
      <c r="S42" s="298">
        <f>-(('FG Users'!S7+'FG Users'!S13+'FG Users'!S27+'FG Users'!S22)+('FG Users'!S17))</f>
        <v>-52437.891323267657</v>
      </c>
      <c r="T42" s="298">
        <f>-(('FG Users'!T7+'FG Users'!T13+'FG Users'!T27+'FG Users'!T22)+('FG Users'!T17))</f>
        <v>-52809.944005789381</v>
      </c>
      <c r="U42" s="298">
        <f>-(('FG Users'!U7+'FG Users'!U13+'FG Users'!U27+'FG Users'!U22)+('FG Users'!U17))</f>
        <v>-53185.604493725608</v>
      </c>
      <c r="V42" s="298">
        <f>-(('FG Users'!V7+'FG Users'!V13+'FG Users'!V27+'FG Users'!V22)+('FG Users'!V17))</f>
        <v>-53564.908781716622</v>
      </c>
      <c r="W42" s="298">
        <f>-(('FG Users'!W7+'FG Users'!W13+'FG Users'!W27+'FG Users'!W22)+('FG Users'!W17))</f>
        <v>-53947.893224287414</v>
      </c>
      <c r="X42" s="298">
        <f>-(('FG Users'!X7+'FG Users'!X13+'FG Users'!X27+'FG Users'!X22)+('FG Users'!X17))</f>
        <v>-54334.594539446422</v>
      </c>
      <c r="Y42" s="298">
        <f>-(('FG Users'!Y7+'FG Users'!Y13+'FG Users'!Y27+'FG Users'!Y22)+('FG Users'!Y17))</f>
        <v>-54725.049812320387</v>
      </c>
      <c r="Z42" s="298">
        <f>-(('FG Users'!Z7+'FG Users'!Z13+'FG Users'!Z27+'FG Users'!Z22)+('FG Users'!Z17))</f>
        <v>-55119.296498825424</v>
      </c>
    </row>
    <row r="43" spans="1:26">
      <c r="B43" s="78" t="s">
        <v>508</v>
      </c>
      <c r="C43" s="298">
        <f>-('Mode Operating Assumptions'!$C$27*('FG Users'!C7+'FG Users'!C13+'FG Users'!C27+'FG Users'!C22)+'Mode Operating Assumptions'!$C$18*('FG Users'!C17))</f>
        <v>0</v>
      </c>
      <c r="D43" s="298">
        <f>-('Mode Operating Assumptions'!$C$27*('FG Users'!D7+'FG Users'!D13+'FG Users'!D27+'FG Users'!D22)+'Mode Operating Assumptions'!$C$18*('FG Users'!D17))</f>
        <v>0</v>
      </c>
      <c r="E43" s="298">
        <f>-('Mode Operating Assumptions'!$C$27*('FG Users'!E7+'FG Users'!E13+'FG Users'!E27+'FG Users'!E22)+'Mode Operating Assumptions'!$C$18*('FG Users'!E17))</f>
        <v>0</v>
      </c>
      <c r="F43" s="298">
        <f>-('Mode Operating Assumptions'!$C$27*('FG Users'!F7+'FG Users'!F13+'FG Users'!F27+'FG Users'!F22)+'Mode Operating Assumptions'!$C$18*('FG Users'!F17))</f>
        <v>0</v>
      </c>
      <c r="G43" s="298">
        <f>-('Mode Operating Assumptions'!$C$27*('FG Users'!G7+'FG Users'!G13+'FG Users'!G27+'FG Users'!G22)+'Mode Operating Assumptions'!$C$18*('FG Users'!G17))</f>
        <v>-190648.66593674239</v>
      </c>
      <c r="H43" s="298">
        <f>-('Mode Operating Assumptions'!$C$27*('FG Users'!H7+'FG Users'!H13+'FG Users'!H27+'FG Users'!H22)+'Mode Operating Assumptions'!$C$18*('FG Users'!H17))</f>
        <v>-261517.58984387721</v>
      </c>
      <c r="I43" s="298">
        <f>-('Mode Operating Assumptions'!$C$27*('FG Users'!I7+'FG Users'!I13+'FG Users'!I27+'FG Users'!I22)+'Mode Operating Assumptions'!$C$18*('FG Users'!I17))</f>
        <v>-266725.6460348664</v>
      </c>
      <c r="J43" s="298">
        <f>-('Mode Operating Assumptions'!$C$27*('FG Users'!J7+'FG Users'!J13+'FG Users'!J27+'FG Users'!J22)+'Mode Operating Assumptions'!$C$18*('FG Users'!J17))</f>
        <v>-272082.2897922541</v>
      </c>
      <c r="K43" s="298">
        <f>-('Mode Operating Assumptions'!$C$27*('FG Users'!K7+'FG Users'!K13+'FG Users'!K27+'FG Users'!K22)+'Mode Operating Assumptions'!$C$18*('FG Users'!K17))</f>
        <v>-277592.59898241144</v>
      </c>
      <c r="L43" s="298">
        <f>-('Mode Operating Assumptions'!$C$27*('FG Users'!L7+'FG Users'!L13+'FG Users'!L27+'FG Users'!L22)+'Mode Operating Assumptions'!$C$18*('FG Users'!L17))</f>
        <v>-279384.24651518144</v>
      </c>
      <c r="M43" s="298">
        <f>-('Mode Operating Assumptions'!$C$27*('FG Users'!M7+'FG Users'!M13+'FG Users'!M27+'FG Users'!M22)+'Mode Operating Assumptions'!$C$18*('FG Users'!M17))</f>
        <v>-281193.08215722081</v>
      </c>
      <c r="N43" s="298">
        <f>-('Mode Operating Assumptions'!$C$27*('FG Users'!N7+'FG Users'!N13+'FG Users'!N27+'FG Users'!N22)+'Mode Operating Assumptions'!$C$18*('FG Users'!N17))</f>
        <v>-283019.2772506316</v>
      </c>
      <c r="O43" s="298">
        <f>-('Mode Operating Assumptions'!$C$27*('FG Users'!O7+'FG Users'!O13+'FG Users'!O27+'FG Users'!O22)+'Mode Operating Assumptions'!$C$18*('FG Users'!O17))</f>
        <v>-284863.00485053746</v>
      </c>
      <c r="P43" s="298">
        <f>-('Mode Operating Assumptions'!$C$27*('FG Users'!P7+'FG Users'!P13+'FG Users'!P27+'FG Users'!P22)+'Mode Operating Assumptions'!$C$18*('FG Users'!P17))</f>
        <v>-286724.4397422148</v>
      </c>
      <c r="Q43" s="298">
        <f>-('Mode Operating Assumptions'!$C$27*('FG Users'!Q7+'FG Users'!Q13+'FG Users'!Q27+'FG Users'!Q22)+'Mode Operating Assumptions'!$C$18*('FG Users'!Q17))</f>
        <v>-288603.75845839281</v>
      </c>
      <c r="R43" s="298">
        <f>-('Mode Operating Assumptions'!$C$27*('FG Users'!R7+'FG Users'!R13+'FG Users'!R27+'FG Users'!R22)+'Mode Operating Assumptions'!$C$18*('FG Users'!R17))</f>
        <v>-290501.13929672848</v>
      </c>
      <c r="S43" s="298">
        <f>-('Mode Operating Assumptions'!$C$27*('FG Users'!S7+'FG Users'!S13+'FG Users'!S27+'FG Users'!S22)+'Mode Operating Assumptions'!$C$18*('FG Users'!S17))</f>
        <v>-292416.76233745535</v>
      </c>
      <c r="T43" s="298">
        <f>-('Mode Operating Assumptions'!$C$27*('FG Users'!T7+'FG Users'!T13+'FG Users'!T27+'FG Users'!T22)+'Mode Operating Assumptions'!$C$18*('FG Users'!T17))</f>
        <v>-294350.8094612087</v>
      </c>
      <c r="U43" s="298">
        <f>-('Mode Operating Assumptions'!$C$27*('FG Users'!U7+'FG Users'!U13+'FG Users'!U27+'FG Users'!U22)+'Mode Operating Assumptions'!$C$18*('FG Users'!U17))</f>
        <v>-296303.46436703001</v>
      </c>
      <c r="V43" s="298">
        <f>-('Mode Operating Assumptions'!$C$27*('FG Users'!V7+'FG Users'!V13+'FG Users'!V27+'FG Users'!V22)+'Mode Operating Assumptions'!$C$18*('FG Users'!V17))</f>
        <v>-298274.91259054973</v>
      </c>
      <c r="W43" s="298">
        <f>-('Mode Operating Assumptions'!$C$27*('FG Users'!W7+'FG Users'!W13+'FG Users'!W27+'FG Users'!W22)+'Mode Operating Assumptions'!$C$18*('FG Users'!W17))</f>
        <v>-300265.34152235382</v>
      </c>
      <c r="X43" s="298">
        <f>-('Mode Operating Assumptions'!$C$27*('FG Users'!X7+'FG Users'!X13+'FG Users'!X27+'FG Users'!X22)+'Mode Operating Assumptions'!$C$18*('FG Users'!X17))</f>
        <v>-302274.94042653224</v>
      </c>
      <c r="Y43" s="298">
        <f>-('Mode Operating Assumptions'!$C$27*('FG Users'!Y7+'FG Users'!Y13+'FG Users'!Y27+'FG Users'!Y22)+'Mode Operating Assumptions'!$C$18*('FG Users'!Y17))</f>
        <v>-304303.90045941423</v>
      </c>
      <c r="Z43" s="298">
        <f>-('Mode Operating Assumptions'!$C$27*('FG Users'!Z7+'FG Users'!Z13+'FG Users'!Z27+'FG Users'!Z22)+'Mode Operating Assumptions'!$C$18*('FG Users'!Z17))</f>
        <v>-306352.41468849033</v>
      </c>
    </row>
    <row r="44" spans="1:26">
      <c r="A44" s="70"/>
      <c r="B44" s="54" t="s">
        <v>509</v>
      </c>
      <c r="C44" s="246">
        <f>-(C43*'Mode Operating Assumptions'!$C$8/'Mode Operating Assumptions'!C11)</f>
        <v>0</v>
      </c>
      <c r="D44" s="246">
        <f>-(D43*'Mode Operating Assumptions'!$C$8/'Mode Operating Assumptions'!D11)</f>
        <v>0</v>
      </c>
      <c r="E44" s="246">
        <f>-(E43*'Mode Operating Assumptions'!$C$8/'Mode Operating Assumptions'!E11)</f>
        <v>0</v>
      </c>
      <c r="F44" s="246">
        <f>-(F43*'Mode Operating Assumptions'!$C$8/'Mode Operating Assumptions'!G11)</f>
        <v>0</v>
      </c>
      <c r="G44" s="246">
        <f>-(G43*'Mode Operating Assumptions'!$C$8/'Mode Operating Assumptions'!H11)</f>
        <v>30759.789281862322</v>
      </c>
      <c r="H44" s="246">
        <f>-(H43*'Mode Operating Assumptions'!$C$8/'Mode Operating Assumptions'!I11)</f>
        <v>41321.688558233735</v>
      </c>
      <c r="I44" s="246">
        <f>-(I43*'Mode Operating Assumptions'!$C$8/'Mode Operating Assumptions'!J11)</f>
        <v>41290.976344390852</v>
      </c>
      <c r="J44" s="246">
        <f>-(J43*'Mode Operating Assumptions'!$C$8/'Mode Operating Assumptions'!K11)</f>
        <v>41284.029288817044</v>
      </c>
      <c r="K44" s="246">
        <f>-(K43*'Mode Operating Assumptions'!$C$8/'Mode Operating Assumptions'!L11)</f>
        <v>42097.823834945571</v>
      </c>
      <c r="L44" s="246">
        <f>-(L43*'Mode Operating Assumptions'!$C$8/'Mode Operating Assumptions'!M11)</f>
        <v>42347.108250984398</v>
      </c>
      <c r="M44" s="246">
        <f>-(M43*'Mode Operating Assumptions'!$C$8/'Mode Operating Assumptions'!N11)</f>
        <v>42598.732805883767</v>
      </c>
      <c r="N44" s="246">
        <f>-(N43*'Mode Operating Assumptions'!$C$8/'Mode Operating Assumptions'!O11)</f>
        <v>42852.719731274687</v>
      </c>
      <c r="O44" s="246">
        <f>-(O43*'Mode Operating Assumptions'!$C$8/'Mode Operating Assumptions'!P11)</f>
        <v>43109.091471033127</v>
      </c>
      <c r="P44" s="246">
        <f>-(P43*'Mode Operating Assumptions'!$C$8/'Mode Operating Assumptions'!Q11)</f>
        <v>43367.870683310692</v>
      </c>
      <c r="Q44" s="246">
        <f>-(Q43*'Mode Operating Assumptions'!$C$8/'Mode Operating Assumptions'!R11)</f>
        <v>43629.080242584372</v>
      </c>
      <c r="R44" s="246">
        <f>-(R43*'Mode Operating Assumptions'!$C$8/'Mode Operating Assumptions'!S11)</f>
        <v>43892.743241726217</v>
      </c>
      <c r="S44" s="246">
        <f>-(S43*'Mode Operating Assumptions'!$C$8/'Mode Operating Assumptions'!T11)</f>
        <v>44158.882994092746</v>
      </c>
      <c r="T44" s="246">
        <f>-(T43*'Mode Operating Assumptions'!$C$8/'Mode Operating Assumptions'!U11)</f>
        <v>44427.523035634324</v>
      </c>
      <c r="U44" s="246">
        <f>-(U43*'Mode Operating Assumptions'!$C$8/'Mode Operating Assumptions'!V11)</f>
        <v>44698.687127025005</v>
      </c>
      <c r="V44" s="246">
        <f>-(V43*'Mode Operating Assumptions'!$C$8/'Mode Operating Assumptions'!W11)</f>
        <v>44972.399255812445</v>
      </c>
      <c r="W44" s="246">
        <f>-(W43*'Mode Operating Assumptions'!$C$8/'Mode Operating Assumptions'!X11)</f>
        <v>45248.683638588707</v>
      </c>
      <c r="X44" s="246">
        <f>-(X43*'Mode Operating Assumptions'!$C$8/'Mode Operating Assumptions'!Y11)</f>
        <v>45527.564723181778</v>
      </c>
      <c r="Y44" s="246">
        <f>-(Y43*'Mode Operating Assumptions'!$C$8/'Mode Operating Assumptions'!Z11)</f>
        <v>45809.067190868074</v>
      </c>
      <c r="Z44" s="246">
        <f>-(Z43*'Mode Operating Assumptions'!$C$8/'Mode Operating Assumptions'!AA11)</f>
        <v>46093.215958606204</v>
      </c>
    </row>
    <row r="49" spans="1:26" ht="15">
      <c r="B49" s="145" t="s">
        <v>249</v>
      </c>
    </row>
    <row r="51" spans="1:26">
      <c r="B51" s="1" t="s">
        <v>250</v>
      </c>
      <c r="C51" s="107">
        <v>667689</v>
      </c>
    </row>
    <row r="52" spans="1:26">
      <c r="B52" s="76"/>
      <c r="C52" s="165"/>
    </row>
    <row r="53" spans="1:26" ht="15">
      <c r="A53" s="145" t="s">
        <v>268</v>
      </c>
      <c r="D53" s="145" t="s">
        <v>269</v>
      </c>
    </row>
    <row r="54" spans="1:26" ht="15">
      <c r="A54" s="145"/>
      <c r="D54" s="145"/>
    </row>
    <row r="55" spans="1:26">
      <c r="B55" s="521" t="s">
        <v>251</v>
      </c>
      <c r="C55" s="530" t="s">
        <v>252</v>
      </c>
      <c r="D55" s="531"/>
      <c r="E55" s="531"/>
      <c r="F55" s="532"/>
      <c r="G55" s="533" t="s">
        <v>253</v>
      </c>
      <c r="H55" s="534"/>
      <c r="I55" s="534"/>
      <c r="J55" s="534"/>
      <c r="K55" s="523" t="s">
        <v>254</v>
      </c>
      <c r="L55" s="527"/>
      <c r="M55" s="527"/>
      <c r="N55" s="528"/>
      <c r="O55" s="533" t="s">
        <v>255</v>
      </c>
      <c r="P55" s="534"/>
      <c r="Q55" s="534"/>
      <c r="R55" s="534"/>
      <c r="S55" s="523" t="s">
        <v>256</v>
      </c>
      <c r="T55" s="527"/>
      <c r="U55" s="527"/>
      <c r="V55" s="528"/>
      <c r="W55" s="523" t="s">
        <v>257</v>
      </c>
      <c r="X55" s="527"/>
      <c r="Y55" s="527"/>
      <c r="Z55" s="528"/>
    </row>
    <row r="56" spans="1:26" ht="13.5" thickBot="1">
      <c r="A56" s="146" t="s">
        <v>250</v>
      </c>
      <c r="B56" s="529"/>
      <c r="C56" s="151">
        <v>2005</v>
      </c>
      <c r="D56" s="152">
        <v>2010</v>
      </c>
      <c r="E56" s="152">
        <v>2020</v>
      </c>
      <c r="F56" s="153">
        <v>2030</v>
      </c>
      <c r="G56" s="152">
        <v>2005</v>
      </c>
      <c r="H56" s="152">
        <v>2010</v>
      </c>
      <c r="I56" s="152">
        <v>2020</v>
      </c>
      <c r="J56" s="152">
        <v>2030</v>
      </c>
      <c r="K56" s="151">
        <v>2005</v>
      </c>
      <c r="L56" s="152">
        <v>2010</v>
      </c>
      <c r="M56" s="152">
        <v>2020</v>
      </c>
      <c r="N56" s="153">
        <v>2030</v>
      </c>
      <c r="O56" s="152">
        <v>2005</v>
      </c>
      <c r="P56" s="152">
        <v>2010</v>
      </c>
      <c r="Q56" s="152">
        <v>2020</v>
      </c>
      <c r="R56" s="152">
        <v>2030</v>
      </c>
      <c r="S56" s="151">
        <v>2005</v>
      </c>
      <c r="T56" s="152">
        <v>2010</v>
      </c>
      <c r="U56" s="152">
        <v>2020</v>
      </c>
      <c r="V56" s="153">
        <v>2030</v>
      </c>
      <c r="W56" s="151">
        <v>2005</v>
      </c>
      <c r="X56" s="152">
        <v>2010</v>
      </c>
      <c r="Y56" s="152">
        <v>2020</v>
      </c>
      <c r="Z56" s="153">
        <v>2030</v>
      </c>
    </row>
    <row r="57" spans="1:26">
      <c r="A57" t="s">
        <v>258</v>
      </c>
      <c r="C57" s="147">
        <v>371</v>
      </c>
      <c r="D57" s="148">
        <v>423</v>
      </c>
      <c r="E57" s="148">
        <v>583</v>
      </c>
      <c r="F57" s="149">
        <v>580</v>
      </c>
      <c r="G57" s="150">
        <v>288</v>
      </c>
      <c r="H57" s="148">
        <v>327</v>
      </c>
      <c r="I57" s="148">
        <v>447</v>
      </c>
      <c r="J57" s="150">
        <v>444</v>
      </c>
      <c r="K57" s="147">
        <v>641</v>
      </c>
      <c r="L57" s="148">
        <v>731</v>
      </c>
      <c r="M57" s="148">
        <v>1029</v>
      </c>
      <c r="N57" s="149">
        <v>1025</v>
      </c>
      <c r="O57" s="150">
        <v>501</v>
      </c>
      <c r="P57" s="148">
        <v>570</v>
      </c>
      <c r="Q57" s="148">
        <v>799</v>
      </c>
      <c r="R57" s="150">
        <v>803</v>
      </c>
      <c r="S57" s="147">
        <v>2064.4761904761899</v>
      </c>
      <c r="T57" s="148">
        <v>2377.6282541193273</v>
      </c>
      <c r="U57" s="148">
        <v>3418.5307249453263</v>
      </c>
      <c r="V57" s="149">
        <v>3442.2377810889175</v>
      </c>
      <c r="W57" s="147">
        <v>1895.0952380952376</v>
      </c>
      <c r="X57" s="148">
        <v>2181.3160190009785</v>
      </c>
      <c r="Y57" s="148">
        <v>3151.0631519736653</v>
      </c>
      <c r="Z57" s="149">
        <v>3176.3865894065011</v>
      </c>
    </row>
    <row r="58" spans="1:26">
      <c r="A58" t="s">
        <v>260</v>
      </c>
      <c r="C58" s="147">
        <v>311.14285714285683</v>
      </c>
      <c r="D58" s="148">
        <v>359.32255576906402</v>
      </c>
      <c r="E58" s="148">
        <v>513.39435098466129</v>
      </c>
      <c r="F58" s="149">
        <v>511.50769837943903</v>
      </c>
      <c r="G58" s="150">
        <v>17.285714285714285</v>
      </c>
      <c r="H58" s="148">
        <v>19.068937054497496</v>
      </c>
      <c r="I58" s="148">
        <v>25.620417620000417</v>
      </c>
      <c r="J58" s="150">
        <v>27.094034412712475</v>
      </c>
      <c r="K58" s="147">
        <v>578.28571428571365</v>
      </c>
      <c r="L58" s="148">
        <v>667.66525199878367</v>
      </c>
      <c r="M58" s="148">
        <v>955.73214253534832</v>
      </c>
      <c r="N58" s="149">
        <v>952.5869281577327</v>
      </c>
      <c r="O58" s="150">
        <v>33.619047619047613</v>
      </c>
      <c r="P58" s="148">
        <v>36.902685222688525</v>
      </c>
      <c r="Q58" s="148">
        <v>49.435442023209411</v>
      </c>
      <c r="R58" s="150">
        <v>52.363407125707219</v>
      </c>
      <c r="S58" s="147">
        <v>2064.4761904761899</v>
      </c>
      <c r="T58" s="148">
        <v>2377.6282541193273</v>
      </c>
      <c r="U58" s="148">
        <v>3418.5307249453263</v>
      </c>
      <c r="V58" s="149">
        <v>3442.2377810889175</v>
      </c>
      <c r="W58" s="147">
        <v>1895.0952380952376</v>
      </c>
      <c r="X58" s="148">
        <v>2181.3160190009785</v>
      </c>
      <c r="Y58" s="148">
        <v>3151.0631519736653</v>
      </c>
      <c r="Z58" s="149">
        <v>3176.3865894065011</v>
      </c>
    </row>
    <row r="59" spans="1:26">
      <c r="A59" s="26" t="s">
        <v>262</v>
      </c>
      <c r="C59" s="147">
        <v>37.380952380952372</v>
      </c>
      <c r="D59" s="148">
        <v>42.118290415647763</v>
      </c>
      <c r="E59" s="148">
        <v>58.962437830365012</v>
      </c>
      <c r="F59" s="149">
        <v>61.478758866859671</v>
      </c>
      <c r="G59" s="150">
        <v>234.04761904761909</v>
      </c>
      <c r="H59" s="148">
        <v>269.43774350101478</v>
      </c>
      <c r="I59" s="148">
        <v>387.4974615902172</v>
      </c>
      <c r="J59" s="150">
        <v>385.77900167540508</v>
      </c>
      <c r="K59" s="147">
        <v>67.904761904761926</v>
      </c>
      <c r="L59" s="148">
        <v>76.657512126647106</v>
      </c>
      <c r="M59" s="148">
        <v>106.73536406860336</v>
      </c>
      <c r="N59" s="149">
        <v>110.91226529581401</v>
      </c>
      <c r="O59" s="150">
        <v>450.1904761904762</v>
      </c>
      <c r="P59" s="148">
        <v>518.93766147261681</v>
      </c>
      <c r="Q59" s="148">
        <v>747.40257961231259</v>
      </c>
      <c r="R59" s="150">
        <v>745.83303577505581</v>
      </c>
      <c r="S59" s="147">
        <v>2064.4761904761899</v>
      </c>
      <c r="T59" s="148">
        <v>2377.6282541193273</v>
      </c>
      <c r="U59" s="148">
        <v>3418.5307249453263</v>
      </c>
      <c r="V59" s="149">
        <v>3442.2377810889175</v>
      </c>
      <c r="W59" s="147">
        <v>1895.0952380952376</v>
      </c>
      <c r="X59" s="148">
        <v>2181.3160190009785</v>
      </c>
      <c r="Y59" s="148">
        <v>3151.0631519736653</v>
      </c>
      <c r="Z59" s="149">
        <v>3176.3865894065011</v>
      </c>
    </row>
    <row r="60" spans="1:26">
      <c r="A60" s="26"/>
      <c r="B60" s="521" t="s">
        <v>251</v>
      </c>
      <c r="C60" s="160"/>
      <c r="D60" s="535" t="s">
        <v>252</v>
      </c>
      <c r="E60" s="536"/>
      <c r="F60" s="537"/>
      <c r="G60" s="162"/>
      <c r="H60" s="523" t="s">
        <v>253</v>
      </c>
      <c r="I60" s="527"/>
      <c r="J60" s="528"/>
      <c r="L60" s="523" t="s">
        <v>254</v>
      </c>
      <c r="M60" s="527"/>
      <c r="N60" s="528"/>
      <c r="P60" s="523" t="s">
        <v>255</v>
      </c>
      <c r="Q60" s="527"/>
      <c r="R60" s="528"/>
      <c r="T60" s="523" t="s">
        <v>256</v>
      </c>
      <c r="U60" s="527"/>
      <c r="V60" s="528"/>
      <c r="X60" s="523" t="s">
        <v>257</v>
      </c>
      <c r="Y60" s="527"/>
      <c r="Z60" s="528"/>
    </row>
    <row r="61" spans="1:26" ht="23.25" thickBot="1">
      <c r="A61" s="146" t="s">
        <v>250</v>
      </c>
      <c r="B61" s="529"/>
      <c r="C61" s="161"/>
      <c r="D61" s="154" t="s">
        <v>264</v>
      </c>
      <c r="E61" s="155" t="s">
        <v>265</v>
      </c>
      <c r="F61" s="156" t="s">
        <v>266</v>
      </c>
      <c r="G61" s="163"/>
      <c r="H61" s="154" t="s">
        <v>264</v>
      </c>
      <c r="I61" s="155" t="s">
        <v>265</v>
      </c>
      <c r="J61" s="156" t="s">
        <v>266</v>
      </c>
      <c r="L61" s="154" t="s">
        <v>264</v>
      </c>
      <c r="M61" s="155" t="s">
        <v>265</v>
      </c>
      <c r="N61" s="156" t="s">
        <v>266</v>
      </c>
      <c r="P61" s="154" t="s">
        <v>264</v>
      </c>
      <c r="Q61" s="155" t="s">
        <v>265</v>
      </c>
      <c r="R61" s="156" t="s">
        <v>266</v>
      </c>
      <c r="T61" s="154" t="s">
        <v>264</v>
      </c>
      <c r="U61" s="155" t="s">
        <v>265</v>
      </c>
      <c r="V61" s="156" t="s">
        <v>266</v>
      </c>
      <c r="X61" s="154" t="s">
        <v>264</v>
      </c>
      <c r="Y61" s="155" t="s">
        <v>265</v>
      </c>
      <c r="Z61" s="156" t="s">
        <v>266</v>
      </c>
    </row>
    <row r="62" spans="1:26">
      <c r="A62" t="s">
        <v>259</v>
      </c>
      <c r="D62" s="157">
        <v>0.14016172506738545</v>
      </c>
      <c r="E62" s="158">
        <v>0.37825059101654857</v>
      </c>
      <c r="F62" s="159">
        <v>-5.145797598627766E-3</v>
      </c>
      <c r="H62" s="157">
        <v>0.13541666666666674</v>
      </c>
      <c r="I62" s="158">
        <v>0.3669724770642202</v>
      </c>
      <c r="J62" s="159">
        <v>-6.7114093959731447E-3</v>
      </c>
      <c r="L62" s="157">
        <v>0.14040561622464898</v>
      </c>
      <c r="M62" s="158">
        <v>0.40766073871409025</v>
      </c>
      <c r="N62" s="159">
        <v>-3.8872691933916625E-3</v>
      </c>
      <c r="P62" s="157">
        <v>0.13772455089820368</v>
      </c>
      <c r="Q62" s="158">
        <v>0.4017543859649122</v>
      </c>
      <c r="R62" s="159">
        <v>5.0062578222778154E-3</v>
      </c>
      <c r="T62" s="157">
        <v>0.15168596522825784</v>
      </c>
      <c r="U62" s="158">
        <v>0.43779025128196447</v>
      </c>
      <c r="V62" s="159">
        <v>6.9348670674798107E-3</v>
      </c>
      <c r="X62" s="157">
        <v>0.15103239940248159</v>
      </c>
      <c r="Y62" s="158">
        <v>0.4445697572132723</v>
      </c>
      <c r="Z62" s="159">
        <v>8.0364741077862956E-3</v>
      </c>
    </row>
    <row r="63" spans="1:26">
      <c r="A63" s="26" t="s">
        <v>263</v>
      </c>
      <c r="D63" s="157">
        <v>0.15484751624584514</v>
      </c>
      <c r="E63" s="158">
        <v>0.42878409034421683</v>
      </c>
      <c r="F63" s="159">
        <v>-3.6748604685730157E-3</v>
      </c>
      <c r="H63" s="157">
        <v>0.10316164778084702</v>
      </c>
      <c r="I63" s="158">
        <v>0.34356820974233182</v>
      </c>
      <c r="J63" s="159">
        <v>5.7517282292919747E-2</v>
      </c>
      <c r="L63" s="157">
        <v>0.15455947727062513</v>
      </c>
      <c r="M63" s="158">
        <v>0.43145407024580251</v>
      </c>
      <c r="N63" s="159">
        <v>-3.2908952599125518E-3</v>
      </c>
      <c r="P63" s="157">
        <v>9.7671940051641926E-2</v>
      </c>
      <c r="Q63" s="158">
        <v>0.33961639173117653</v>
      </c>
      <c r="R63" s="159">
        <v>5.9228055473301122E-2</v>
      </c>
      <c r="T63" s="157">
        <v>0.15168596522825784</v>
      </c>
      <c r="U63" s="158">
        <v>0.43779025128196447</v>
      </c>
      <c r="V63" s="159">
        <v>6.9348670674798107E-3</v>
      </c>
      <c r="X63" s="157">
        <v>0.15168596522825784</v>
      </c>
      <c r="Y63" s="158">
        <v>0.43779025128196447</v>
      </c>
      <c r="Z63" s="159">
        <v>6.9348670674798107E-3</v>
      </c>
    </row>
    <row r="64" spans="1:26">
      <c r="A64" t="s">
        <v>261</v>
      </c>
      <c r="D64" s="157">
        <v>0.12673133596000419</v>
      </c>
      <c r="E64" s="158">
        <v>0.39992476542825961</v>
      </c>
      <c r="F64" s="159">
        <v>4.2676679070395851E-2</v>
      </c>
      <c r="H64" s="157">
        <v>0.15120907701349129</v>
      </c>
      <c r="I64" s="158">
        <v>0.43817067555258005</v>
      </c>
      <c r="J64" s="159">
        <v>-4.4347643149967864E-3</v>
      </c>
      <c r="L64" s="157">
        <v>0.12889744366030054</v>
      </c>
      <c r="M64" s="158">
        <v>0.39236665928140413</v>
      </c>
      <c r="N64" s="159">
        <v>3.9133245702202002E-2</v>
      </c>
      <c r="P64" s="157">
        <v>0.15168596522825784</v>
      </c>
      <c r="Q64" s="158">
        <v>0.43779025128196447</v>
      </c>
      <c r="R64" s="159">
        <v>6.9348670674798107E-3</v>
      </c>
      <c r="T64" s="157">
        <v>0.15270688501427476</v>
      </c>
      <c r="U64" s="158">
        <v>0.44025503466325566</v>
      </c>
      <c r="V64" s="159">
        <v>-2.0999978861070412E-3</v>
      </c>
      <c r="X64" s="157">
        <v>0.15103239940248159</v>
      </c>
      <c r="Y64" s="158">
        <v>0.4445697572132723</v>
      </c>
      <c r="Z64" s="159">
        <v>8.0364741077862956E-3</v>
      </c>
    </row>
    <row r="65" spans="1:26" s="25" customFormat="1">
      <c r="D65" s="166"/>
      <c r="E65" s="166"/>
      <c r="F65" s="166"/>
      <c r="H65" s="166"/>
      <c r="I65" s="166"/>
      <c r="J65" s="166"/>
      <c r="L65" s="166"/>
      <c r="M65" s="166"/>
      <c r="N65" s="166"/>
      <c r="P65" s="166"/>
      <c r="Q65" s="166"/>
      <c r="R65" s="166"/>
      <c r="T65" s="166"/>
      <c r="U65" s="166">
        <f>(1+U66)^10</f>
        <v>1.4411487978324991</v>
      </c>
      <c r="V65" s="166">
        <f>(1+V66)^10</f>
        <v>1.0074246906899076</v>
      </c>
      <c r="X65" s="166"/>
      <c r="Y65" s="166"/>
      <c r="Z65" s="166"/>
    </row>
    <row r="66" spans="1:26" s="25" customFormat="1">
      <c r="D66" s="166"/>
      <c r="E66" s="166"/>
      <c r="F66" s="166"/>
      <c r="H66" s="166"/>
      <c r="I66" s="166"/>
      <c r="J66" s="166"/>
      <c r="L66" s="166"/>
      <c r="M66" s="166"/>
      <c r="N66" s="166"/>
      <c r="P66" s="166"/>
      <c r="Q66" s="166"/>
      <c r="R66" s="166"/>
      <c r="T66" s="166" t="s">
        <v>270</v>
      </c>
      <c r="U66" s="167">
        <v>3.7220000000000003E-2</v>
      </c>
      <c r="V66" s="167">
        <v>7.3999999999999999E-4</v>
      </c>
      <c r="X66" s="166"/>
      <c r="Y66" s="166"/>
      <c r="Z66" s="166"/>
    </row>
    <row r="67" spans="1:26" s="25" customFormat="1">
      <c r="A67" s="247" t="s">
        <v>407</v>
      </c>
      <c r="D67" s="166"/>
      <c r="E67" s="166"/>
      <c r="F67" s="166"/>
      <c r="H67" s="166"/>
      <c r="I67" s="166"/>
      <c r="J67" s="166"/>
      <c r="L67" s="166"/>
      <c r="M67" s="166"/>
      <c r="N67" s="166"/>
      <c r="P67" s="166"/>
      <c r="Q67" s="166"/>
      <c r="R67" s="166"/>
      <c r="T67" s="166"/>
      <c r="U67" s="167"/>
      <c r="V67" s="167"/>
      <c r="X67" s="166"/>
      <c r="Y67" s="166"/>
      <c r="Z67" s="166"/>
    </row>
    <row r="68" spans="1:26" s="174" customFormat="1">
      <c r="A68" s="173" t="s">
        <v>290</v>
      </c>
      <c r="B68" s="173" t="s">
        <v>272</v>
      </c>
      <c r="C68" s="173" t="s">
        <v>273</v>
      </c>
      <c r="D68" s="173" t="s">
        <v>274</v>
      </c>
      <c r="E68" s="173" t="s">
        <v>275</v>
      </c>
      <c r="F68" s="173" t="s">
        <v>276</v>
      </c>
      <c r="G68" s="173" t="s">
        <v>277</v>
      </c>
      <c r="H68" s="173" t="s">
        <v>278</v>
      </c>
      <c r="I68" s="173" t="s">
        <v>279</v>
      </c>
      <c r="J68" s="173" t="s">
        <v>280</v>
      </c>
      <c r="K68" s="173" t="s">
        <v>281</v>
      </c>
      <c r="L68" s="173" t="s">
        <v>282</v>
      </c>
      <c r="M68" s="173" t="s">
        <v>283</v>
      </c>
      <c r="N68" s="173" t="s">
        <v>284</v>
      </c>
      <c r="O68" s="173" t="s">
        <v>285</v>
      </c>
      <c r="P68" s="173" t="s">
        <v>286</v>
      </c>
      <c r="Q68" s="173" t="s">
        <v>287</v>
      </c>
      <c r="R68" s="173" t="s">
        <v>288</v>
      </c>
    </row>
    <row r="69" spans="1:26" s="175" customFormat="1">
      <c r="A69" s="170" t="s">
        <v>271</v>
      </c>
      <c r="B69" s="171">
        <v>2156.1957200000015</v>
      </c>
      <c r="C69" s="172"/>
      <c r="D69" s="172"/>
      <c r="E69" s="172"/>
      <c r="F69" s="171">
        <v>277.28149000000002</v>
      </c>
      <c r="G69" s="171">
        <v>39.865280000000006</v>
      </c>
      <c r="H69" s="172"/>
      <c r="I69" s="171">
        <v>814.93175999999971</v>
      </c>
      <c r="J69" s="172"/>
      <c r="K69" s="172"/>
      <c r="L69" s="171">
        <v>22.525120000000001</v>
      </c>
      <c r="M69" s="171">
        <v>78.919940000000054</v>
      </c>
      <c r="N69" s="171">
        <v>22.015040000000003</v>
      </c>
      <c r="O69" s="172"/>
      <c r="P69" s="171">
        <v>25.524980000000003</v>
      </c>
      <c r="Q69" s="171">
        <v>3.2549000000000001</v>
      </c>
      <c r="R69" s="171">
        <v>871.87721000000045</v>
      </c>
    </row>
    <row r="70" spans="1:26">
      <c r="F70" s="128">
        <f t="shared" ref="F70:R70" si="19">F69/$B$69</f>
        <v>0.12859755143192653</v>
      </c>
      <c r="G70" s="128">
        <f t="shared" si="19"/>
        <v>1.8488711219591874E-2</v>
      </c>
      <c r="H70" s="128">
        <f t="shared" si="19"/>
        <v>0</v>
      </c>
      <c r="I70" s="128">
        <f t="shared" si="19"/>
        <v>0.3779488811896905</v>
      </c>
      <c r="J70" s="128">
        <f t="shared" si="19"/>
        <v>0</v>
      </c>
      <c r="K70" s="128">
        <f t="shared" si="19"/>
        <v>0</v>
      </c>
      <c r="L70" s="128">
        <f t="shared" si="19"/>
        <v>1.04466954419147E-2</v>
      </c>
      <c r="M70" s="128">
        <f t="shared" si="19"/>
        <v>3.6601473265144964E-2</v>
      </c>
      <c r="N70" s="128">
        <f t="shared" si="19"/>
        <v>1.0210130646210534E-2</v>
      </c>
      <c r="O70" s="128">
        <f t="shared" si="19"/>
        <v>0</v>
      </c>
      <c r="P70" s="128">
        <f t="shared" si="19"/>
        <v>1.1837969885219875E-2</v>
      </c>
      <c r="Q70" s="128">
        <f t="shared" si="19"/>
        <v>1.5095568411572571E-3</v>
      </c>
      <c r="R70" s="128">
        <f t="shared" si="19"/>
        <v>0.4043590300791432</v>
      </c>
    </row>
    <row r="71" spans="1:26" s="25" customFormat="1">
      <c r="D71" s="166"/>
      <c r="E71" s="166"/>
      <c r="F71" s="166"/>
      <c r="H71" s="166"/>
      <c r="I71" s="166"/>
      <c r="J71" s="166"/>
      <c r="L71" s="166"/>
      <c r="M71" s="166"/>
      <c r="N71" s="166"/>
      <c r="P71" s="166"/>
      <c r="Q71" s="166"/>
      <c r="R71" s="166"/>
      <c r="T71" s="166"/>
      <c r="U71" s="166"/>
      <c r="V71" s="166"/>
      <c r="X71" s="166"/>
      <c r="Y71" s="166"/>
      <c r="Z71" s="166"/>
    </row>
    <row r="72" spans="1:26">
      <c r="C72" s="168">
        <f>U66</f>
        <v>3.7220000000000003E-2</v>
      </c>
      <c r="F72" s="164"/>
      <c r="J72" s="164"/>
      <c r="K72" s="169">
        <f>U57+Y57</f>
        <v>6569.5938769189916</v>
      </c>
      <c r="L72" s="128">
        <f>V66</f>
        <v>7.3999999999999999E-4</v>
      </c>
      <c r="N72" s="164"/>
      <c r="U72" s="169">
        <f>V57+Z57</f>
        <v>6618.6243704954186</v>
      </c>
    </row>
    <row r="73" spans="1:26">
      <c r="C73" s="75">
        <v>2012</v>
      </c>
      <c r="D73" s="75">
        <v>2013</v>
      </c>
      <c r="E73" s="75">
        <v>2014</v>
      </c>
      <c r="F73" s="75">
        <v>2015</v>
      </c>
      <c r="G73" s="75">
        <v>2016</v>
      </c>
      <c r="H73" s="75">
        <v>2017</v>
      </c>
      <c r="I73" s="75">
        <v>2018</v>
      </c>
      <c r="J73" s="75">
        <v>2019</v>
      </c>
      <c r="K73" s="75">
        <v>2020</v>
      </c>
      <c r="L73" s="75">
        <v>2021</v>
      </c>
      <c r="M73" s="75">
        <v>2022</v>
      </c>
      <c r="N73" s="75">
        <v>2023</v>
      </c>
      <c r="O73" s="75">
        <v>2024</v>
      </c>
      <c r="P73" s="75">
        <v>2025</v>
      </c>
      <c r="Q73" s="75">
        <v>2026</v>
      </c>
      <c r="R73" s="75">
        <v>2027</v>
      </c>
      <c r="S73" s="75">
        <v>2028</v>
      </c>
      <c r="T73" s="75">
        <v>2029</v>
      </c>
      <c r="U73" s="75">
        <v>2030</v>
      </c>
      <c r="V73" s="75">
        <v>2031</v>
      </c>
      <c r="W73" s="75">
        <v>2032</v>
      </c>
      <c r="X73" s="75">
        <v>2033</v>
      </c>
      <c r="Y73" s="75">
        <v>2034</v>
      </c>
      <c r="Z73" s="75">
        <v>2035</v>
      </c>
    </row>
    <row r="74" spans="1:26">
      <c r="C74" s="75" t="s">
        <v>18</v>
      </c>
      <c r="D74" s="72" t="s">
        <v>19</v>
      </c>
      <c r="E74" s="72" t="s">
        <v>20</v>
      </c>
      <c r="F74" s="72" t="s">
        <v>21</v>
      </c>
      <c r="G74" s="72" t="s">
        <v>22</v>
      </c>
      <c r="H74" s="72" t="s">
        <v>23</v>
      </c>
      <c r="I74" s="72" t="s">
        <v>24</v>
      </c>
      <c r="J74" s="72" t="s">
        <v>25</v>
      </c>
      <c r="K74" s="72" t="s">
        <v>26</v>
      </c>
      <c r="L74" s="72" t="s">
        <v>27</v>
      </c>
      <c r="M74" s="72" t="s">
        <v>28</v>
      </c>
      <c r="N74" s="72" t="s">
        <v>29</v>
      </c>
      <c r="O74" s="72" t="s">
        <v>30</v>
      </c>
      <c r="P74" s="72" t="s">
        <v>31</v>
      </c>
      <c r="Q74" s="72" t="s">
        <v>32</v>
      </c>
      <c r="R74" s="72" t="s">
        <v>33</v>
      </c>
      <c r="S74" s="72" t="s">
        <v>34</v>
      </c>
      <c r="T74" s="72" t="s">
        <v>35</v>
      </c>
      <c r="U74" s="72" t="s">
        <v>36</v>
      </c>
      <c r="V74" s="72" t="s">
        <v>123</v>
      </c>
      <c r="W74" s="72" t="s">
        <v>245</v>
      </c>
      <c r="X74" s="72" t="s">
        <v>246</v>
      </c>
      <c r="Y74" s="72" t="s">
        <v>247</v>
      </c>
      <c r="Z74" s="72" t="s">
        <v>248</v>
      </c>
    </row>
    <row r="75" spans="1:26">
      <c r="B75" s="26" t="s">
        <v>267</v>
      </c>
      <c r="C75" s="34">
        <f>(T57+X57)*(1+C72)^2</f>
        <v>4904.6277197869522</v>
      </c>
      <c r="D75" s="34">
        <f t="shared" ref="D75:K75" si="20">C75*(1+$C$72)</f>
        <v>5087.1779635174225</v>
      </c>
      <c r="E75" s="34">
        <f t="shared" si="20"/>
        <v>5276.5227273195414</v>
      </c>
      <c r="F75" s="34">
        <f t="shared" si="20"/>
        <v>5472.9149032303749</v>
      </c>
      <c r="G75" s="34">
        <f t="shared" si="20"/>
        <v>5676.6167959286095</v>
      </c>
      <c r="H75" s="34">
        <f t="shared" si="20"/>
        <v>5887.9004730730721</v>
      </c>
      <c r="I75" s="34">
        <f t="shared" si="20"/>
        <v>6107.0481286808517</v>
      </c>
      <c r="J75" s="34">
        <f t="shared" si="20"/>
        <v>6334.3524600303535</v>
      </c>
      <c r="K75" s="34">
        <f t="shared" si="20"/>
        <v>6570.1170585926839</v>
      </c>
      <c r="L75" s="34">
        <f>K75*(1+$L$72)</f>
        <v>6574.9789452160421</v>
      </c>
      <c r="M75" s="34">
        <f t="shared" ref="M75:Z75" si="21">L75*(1+$L$72)</f>
        <v>6579.8444296355019</v>
      </c>
      <c r="N75" s="34">
        <f t="shared" si="21"/>
        <v>6584.7135145134316</v>
      </c>
      <c r="O75" s="34">
        <f t="shared" si="21"/>
        <v>6589.5862025141714</v>
      </c>
      <c r="P75" s="34">
        <f t="shared" si="21"/>
        <v>6594.4624963040314</v>
      </c>
      <c r="Q75" s="34">
        <f t="shared" si="21"/>
        <v>6599.3423985512964</v>
      </c>
      <c r="R75" s="34">
        <f t="shared" si="21"/>
        <v>6604.2259119262244</v>
      </c>
      <c r="S75" s="34">
        <f t="shared" si="21"/>
        <v>6609.1130391010493</v>
      </c>
      <c r="T75" s="34">
        <f t="shared" si="21"/>
        <v>6614.0037827499837</v>
      </c>
      <c r="U75" s="34">
        <f t="shared" si="21"/>
        <v>6618.8981455492185</v>
      </c>
      <c r="V75" s="34">
        <f t="shared" si="21"/>
        <v>6623.7961301769246</v>
      </c>
      <c r="W75" s="34">
        <f t="shared" si="21"/>
        <v>6628.6977393132556</v>
      </c>
      <c r="X75" s="34">
        <f t="shared" si="21"/>
        <v>6633.6029756403468</v>
      </c>
      <c r="Y75" s="34">
        <f t="shared" si="21"/>
        <v>6638.5118418423208</v>
      </c>
      <c r="Z75" s="34">
        <f t="shared" si="21"/>
        <v>6643.4243406052838</v>
      </c>
    </row>
    <row r="77" spans="1:26" ht="15">
      <c r="B77" s="138" t="s">
        <v>289</v>
      </c>
    </row>
    <row r="78" spans="1:26">
      <c r="A78" s="133">
        <f>R70</f>
        <v>0.4043590300791432</v>
      </c>
      <c r="B78" t="s">
        <v>125</v>
      </c>
      <c r="C78" s="34">
        <f t="shared" ref="C78:C84" si="22">C$75*$A78</f>
        <v>1983.2305076723317</v>
      </c>
      <c r="D78" s="34">
        <f t="shared" ref="D78:Z79" si="23">D$75*$A78</f>
        <v>2057.0463471678959</v>
      </c>
      <c r="E78" s="34">
        <f t="shared" si="23"/>
        <v>2133.609612209485</v>
      </c>
      <c r="F78" s="34">
        <f t="shared" si="23"/>
        <v>2213.0225619759221</v>
      </c>
      <c r="G78" s="34">
        <f t="shared" si="23"/>
        <v>2295.391261732666</v>
      </c>
      <c r="H78" s="34">
        <f t="shared" si="23"/>
        <v>2380.8257244943557</v>
      </c>
      <c r="I78" s="34">
        <f t="shared" si="23"/>
        <v>2469.4400579600356</v>
      </c>
      <c r="J78" s="34">
        <f t="shared" si="23"/>
        <v>2561.3526169173083</v>
      </c>
      <c r="K78" s="34">
        <f t="shared" si="23"/>
        <v>2656.6861613189708</v>
      </c>
      <c r="L78" s="34">
        <f t="shared" si="23"/>
        <v>2658.6521090783467</v>
      </c>
      <c r="M78" s="34">
        <f t="shared" si="23"/>
        <v>2660.619511639065</v>
      </c>
      <c r="N78" s="34">
        <f t="shared" si="23"/>
        <v>2662.5883700776776</v>
      </c>
      <c r="O78" s="34">
        <f t="shared" si="23"/>
        <v>2664.5586854715348</v>
      </c>
      <c r="P78" s="34">
        <f t="shared" si="23"/>
        <v>2666.5304588987838</v>
      </c>
      <c r="Q78" s="34">
        <f t="shared" si="23"/>
        <v>2668.5036914383686</v>
      </c>
      <c r="R78" s="34">
        <f t="shared" si="23"/>
        <v>2670.4783841700332</v>
      </c>
      <c r="S78" s="34">
        <f t="shared" si="23"/>
        <v>2672.4545381743187</v>
      </c>
      <c r="T78" s="34">
        <f t="shared" si="23"/>
        <v>2674.4321545325674</v>
      </c>
      <c r="U78" s="34">
        <f t="shared" si="23"/>
        <v>2676.4112343269217</v>
      </c>
      <c r="V78" s="34">
        <f t="shared" si="23"/>
        <v>2678.3917786403235</v>
      </c>
      <c r="W78" s="34">
        <f t="shared" si="23"/>
        <v>2680.3737885565174</v>
      </c>
      <c r="X78" s="34">
        <f t="shared" si="23"/>
        <v>2682.3572651600489</v>
      </c>
      <c r="Y78" s="34">
        <f t="shared" si="23"/>
        <v>2684.3422095362675</v>
      </c>
      <c r="Z78" s="34">
        <f t="shared" si="23"/>
        <v>2686.3286227713238</v>
      </c>
    </row>
    <row r="79" spans="1:26">
      <c r="A79" s="133">
        <f>G70</f>
        <v>1.8488711219591874E-2</v>
      </c>
      <c r="B79" t="s">
        <v>225</v>
      </c>
      <c r="C79" s="34">
        <f t="shared" si="22"/>
        <v>90.680245550746335</v>
      </c>
      <c r="D79" s="34">
        <f t="shared" si="23"/>
        <v>94.055364290145107</v>
      </c>
      <c r="E79" s="34">
        <f t="shared" si="23"/>
        <v>97.556104949024316</v>
      </c>
      <c r="F79" s="34">
        <f t="shared" si="23"/>
        <v>101.18714317522701</v>
      </c>
      <c r="G79" s="34">
        <f t="shared" si="23"/>
        <v>104.95332864420895</v>
      </c>
      <c r="H79" s="34">
        <f t="shared" si="23"/>
        <v>108.85969153634642</v>
      </c>
      <c r="I79" s="34">
        <f t="shared" si="23"/>
        <v>112.91144925532922</v>
      </c>
      <c r="J79" s="34">
        <f t="shared" si="23"/>
        <v>117.11401339661258</v>
      </c>
      <c r="K79" s="34">
        <f t="shared" si="23"/>
        <v>121.47299697523451</v>
      </c>
      <c r="L79" s="34">
        <f t="shared" si="23"/>
        <v>121.56288699299618</v>
      </c>
      <c r="M79" s="34">
        <f t="shared" si="23"/>
        <v>121.652843529371</v>
      </c>
      <c r="N79" s="34">
        <f t="shared" si="23"/>
        <v>121.74286663358272</v>
      </c>
      <c r="O79" s="34">
        <f t="shared" si="23"/>
        <v>121.83295635489156</v>
      </c>
      <c r="P79" s="34">
        <f t="shared" si="23"/>
        <v>121.92311274259418</v>
      </c>
      <c r="Q79" s="34">
        <f t="shared" si="23"/>
        <v>122.01333584602371</v>
      </c>
      <c r="R79" s="34">
        <f t="shared" si="23"/>
        <v>122.10362571454976</v>
      </c>
      <c r="S79" s="34">
        <f t="shared" si="23"/>
        <v>122.19398239757852</v>
      </c>
      <c r="T79" s="34">
        <f t="shared" si="23"/>
        <v>122.28440594455272</v>
      </c>
      <c r="U79" s="34">
        <f t="shared" si="23"/>
        <v>122.37489640495168</v>
      </c>
      <c r="V79" s="34">
        <f t="shared" si="23"/>
        <v>122.46545382829134</v>
      </c>
      <c r="W79" s="34">
        <f t="shared" si="23"/>
        <v>122.55607826412428</v>
      </c>
      <c r="X79" s="34">
        <f t="shared" si="23"/>
        <v>122.64676976203972</v>
      </c>
      <c r="Y79" s="34">
        <f t="shared" si="23"/>
        <v>122.73752837166363</v>
      </c>
      <c r="Z79" s="34">
        <f t="shared" si="23"/>
        <v>122.82835414265865</v>
      </c>
    </row>
    <row r="80" spans="1:26">
      <c r="A80" s="133">
        <f>I70+P70</f>
        <v>0.3897868510749104</v>
      </c>
      <c r="B80" s="26" t="s">
        <v>230</v>
      </c>
      <c r="C80" s="34">
        <f t="shared" si="22"/>
        <v>1911.7593945904741</v>
      </c>
      <c r="D80" s="34">
        <f t="shared" ref="D80:Z84" si="24">D$75*$A80</f>
        <v>1982.9150792571315</v>
      </c>
      <c r="E80" s="34">
        <f t="shared" si="24"/>
        <v>2056.7191785070822</v>
      </c>
      <c r="F80" s="34">
        <f t="shared" si="24"/>
        <v>2133.2702663311156</v>
      </c>
      <c r="G80" s="34">
        <f t="shared" si="24"/>
        <v>2212.6705856439598</v>
      </c>
      <c r="H80" s="34">
        <f t="shared" si="24"/>
        <v>2295.026184841628</v>
      </c>
      <c r="I80" s="34">
        <f t="shared" si="24"/>
        <v>2380.4470594414333</v>
      </c>
      <c r="J80" s="34">
        <f t="shared" si="24"/>
        <v>2469.0472989938439</v>
      </c>
      <c r="K80" s="34">
        <f t="shared" si="24"/>
        <v>2560.945239462395</v>
      </c>
      <c r="L80" s="34">
        <f t="shared" si="24"/>
        <v>2562.8403389395967</v>
      </c>
      <c r="M80" s="34">
        <f t="shared" si="24"/>
        <v>2564.7368407904123</v>
      </c>
      <c r="N80" s="34">
        <f t="shared" si="24"/>
        <v>2566.6347460525967</v>
      </c>
      <c r="O80" s="34">
        <f t="shared" si="24"/>
        <v>2568.5340557646755</v>
      </c>
      <c r="P80" s="34">
        <f t="shared" si="24"/>
        <v>2570.4347709659414</v>
      </c>
      <c r="Q80" s="34">
        <f t="shared" si="24"/>
        <v>2572.3368926964563</v>
      </c>
      <c r="R80" s="34">
        <f t="shared" si="24"/>
        <v>2574.2404219970517</v>
      </c>
      <c r="S80" s="34">
        <f t="shared" si="24"/>
        <v>2576.1453599093293</v>
      </c>
      <c r="T80" s="34">
        <f t="shared" si="24"/>
        <v>2578.0517074756617</v>
      </c>
      <c r="U80" s="34">
        <f t="shared" si="24"/>
        <v>2579.959465739194</v>
      </c>
      <c r="V80" s="34">
        <f t="shared" si="24"/>
        <v>2581.868635743841</v>
      </c>
      <c r="W80" s="34">
        <f t="shared" si="24"/>
        <v>2583.7792185342914</v>
      </c>
      <c r="X80" s="34">
        <f t="shared" si="24"/>
        <v>2585.6912151560064</v>
      </c>
      <c r="Y80" s="34">
        <f t="shared" si="24"/>
        <v>2587.6046266552216</v>
      </c>
      <c r="Z80" s="34">
        <f t="shared" si="24"/>
        <v>2589.5194540789466</v>
      </c>
    </row>
    <row r="81" spans="1:26">
      <c r="A81" s="133">
        <f>F70</f>
        <v>0.12859755143192653</v>
      </c>
      <c r="B81" s="26" t="s">
        <v>231</v>
      </c>
      <c r="C81" s="34">
        <f t="shared" si="22"/>
        <v>630.72311544975514</v>
      </c>
      <c r="D81" s="34">
        <f t="shared" si="24"/>
        <v>654.198629806795</v>
      </c>
      <c r="E81" s="34">
        <f t="shared" si="24"/>
        <v>678.54790280820396</v>
      </c>
      <c r="F81" s="34">
        <f t="shared" si="24"/>
        <v>703.80345575072533</v>
      </c>
      <c r="G81" s="34">
        <f t="shared" si="24"/>
        <v>729.99902037376728</v>
      </c>
      <c r="H81" s="34">
        <f t="shared" si="24"/>
        <v>757.16958391207891</v>
      </c>
      <c r="I81" s="34">
        <f t="shared" si="24"/>
        <v>785.35143582528644</v>
      </c>
      <c r="J81" s="34">
        <f t="shared" si="24"/>
        <v>814.58221626670365</v>
      </c>
      <c r="K81" s="34">
        <f t="shared" si="24"/>
        <v>844.90096635615055</v>
      </c>
      <c r="L81" s="34">
        <f t="shared" si="24"/>
        <v>845.52619307125406</v>
      </c>
      <c r="M81" s="34">
        <f t="shared" si="24"/>
        <v>846.15188245412673</v>
      </c>
      <c r="N81" s="34">
        <f t="shared" si="24"/>
        <v>846.77803484714275</v>
      </c>
      <c r="O81" s="34">
        <f t="shared" si="24"/>
        <v>847.40465059292956</v>
      </c>
      <c r="P81" s="34">
        <f t="shared" si="24"/>
        <v>848.03173003436825</v>
      </c>
      <c r="Q81" s="34">
        <f t="shared" si="24"/>
        <v>848.65927351459368</v>
      </c>
      <c r="R81" s="34">
        <f t="shared" si="24"/>
        <v>849.28728137699454</v>
      </c>
      <c r="S81" s="34">
        <f t="shared" si="24"/>
        <v>849.91575396521341</v>
      </c>
      <c r="T81" s="34">
        <f t="shared" si="24"/>
        <v>850.54469162314763</v>
      </c>
      <c r="U81" s="34">
        <f t="shared" si="24"/>
        <v>851.17409469494874</v>
      </c>
      <c r="V81" s="34">
        <f t="shared" si="24"/>
        <v>851.80396352502294</v>
      </c>
      <c r="W81" s="34">
        <f t="shared" si="24"/>
        <v>852.43429845803144</v>
      </c>
      <c r="X81" s="34">
        <f t="shared" si="24"/>
        <v>853.06509983889032</v>
      </c>
      <c r="Y81" s="34">
        <f t="shared" si="24"/>
        <v>853.69636801277113</v>
      </c>
      <c r="Z81" s="34">
        <f t="shared" si="24"/>
        <v>854.32810332510053</v>
      </c>
    </row>
    <row r="82" spans="1:26">
      <c r="A82" s="133">
        <f>L70+M70+N70</f>
        <v>5.7258299353270196E-2</v>
      </c>
      <c r="B82" t="s">
        <v>224</v>
      </c>
      <c r="C82" s="34">
        <f t="shared" si="22"/>
        <v>280.8306421959083</v>
      </c>
      <c r="D82" s="34">
        <f t="shared" si="24"/>
        <v>291.28315869844005</v>
      </c>
      <c r="E82" s="34">
        <f t="shared" si="24"/>
        <v>302.12471786519598</v>
      </c>
      <c r="F82" s="34">
        <f t="shared" si="24"/>
        <v>313.3697998641386</v>
      </c>
      <c r="G82" s="34">
        <f t="shared" si="24"/>
        <v>325.03342381508185</v>
      </c>
      <c r="H82" s="34">
        <f t="shared" si="24"/>
        <v>337.1311678494792</v>
      </c>
      <c r="I82" s="34">
        <f t="shared" si="24"/>
        <v>349.67918991683678</v>
      </c>
      <c r="J82" s="34">
        <f t="shared" si="24"/>
        <v>362.69424936554145</v>
      </c>
      <c r="K82" s="34">
        <f t="shared" si="24"/>
        <v>376.19372932692693</v>
      </c>
      <c r="L82" s="34">
        <f t="shared" si="24"/>
        <v>376.47211268662886</v>
      </c>
      <c r="M82" s="34">
        <f t="shared" si="24"/>
        <v>376.75070205001697</v>
      </c>
      <c r="N82" s="34">
        <f t="shared" si="24"/>
        <v>377.02949756953393</v>
      </c>
      <c r="O82" s="34">
        <f t="shared" si="24"/>
        <v>377.30849939773537</v>
      </c>
      <c r="P82" s="34">
        <f t="shared" si="24"/>
        <v>377.58770768728971</v>
      </c>
      <c r="Q82" s="34">
        <f t="shared" si="24"/>
        <v>377.86712259097828</v>
      </c>
      <c r="R82" s="34">
        <f t="shared" si="24"/>
        <v>378.14674426169563</v>
      </c>
      <c r="S82" s="34">
        <f t="shared" si="24"/>
        <v>378.42657285244923</v>
      </c>
      <c r="T82" s="34">
        <f t="shared" si="24"/>
        <v>378.70660851636001</v>
      </c>
      <c r="U82" s="34">
        <f t="shared" si="24"/>
        <v>378.98685140666214</v>
      </c>
      <c r="V82" s="34">
        <f t="shared" si="24"/>
        <v>379.26730167670303</v>
      </c>
      <c r="W82" s="34">
        <f t="shared" si="24"/>
        <v>379.54795947994381</v>
      </c>
      <c r="X82" s="34">
        <f t="shared" si="24"/>
        <v>379.82882496995893</v>
      </c>
      <c r="Y82" s="34">
        <f t="shared" si="24"/>
        <v>380.10989830043667</v>
      </c>
      <c r="Z82" s="34">
        <f t="shared" si="24"/>
        <v>380.39117962517901</v>
      </c>
    </row>
    <row r="83" spans="1:26">
      <c r="A83" s="133">
        <f>Q70</f>
        <v>1.5095568411572571E-3</v>
      </c>
      <c r="B83" s="26" t="s">
        <v>229</v>
      </c>
      <c r="C83" s="34">
        <f t="shared" si="22"/>
        <v>7.4038143277339126</v>
      </c>
      <c r="D83" s="34">
        <f t="shared" si="24"/>
        <v>7.6793842970121684</v>
      </c>
      <c r="E83" s="34">
        <f t="shared" si="24"/>
        <v>7.9652109805469626</v>
      </c>
      <c r="F83" s="34">
        <f t="shared" si="24"/>
        <v>8.2616761332429203</v>
      </c>
      <c r="G83" s="34">
        <f t="shared" si="24"/>
        <v>8.5691757189222226</v>
      </c>
      <c r="H83" s="34">
        <f t="shared" si="24"/>
        <v>8.888120439180506</v>
      </c>
      <c r="I83" s="34">
        <f t="shared" si="24"/>
        <v>9.2189362819268048</v>
      </c>
      <c r="J83" s="34">
        <f t="shared" si="24"/>
        <v>9.5620650903401216</v>
      </c>
      <c r="K83" s="34">
        <f t="shared" si="24"/>
        <v>9.9179651530025819</v>
      </c>
      <c r="L83" s="34">
        <f t="shared" si="24"/>
        <v>9.9253044472158027</v>
      </c>
      <c r="M83" s="34">
        <f t="shared" si="24"/>
        <v>9.9326491725067427</v>
      </c>
      <c r="N83" s="34">
        <f t="shared" si="24"/>
        <v>9.9399993328943967</v>
      </c>
      <c r="O83" s="34">
        <f t="shared" si="24"/>
        <v>9.9473549324007386</v>
      </c>
      <c r="P83" s="34">
        <f t="shared" si="24"/>
        <v>9.9547159750507141</v>
      </c>
      <c r="Q83" s="34">
        <f t="shared" si="24"/>
        <v>9.9620824648722515</v>
      </c>
      <c r="R83" s="34">
        <f t="shared" si="24"/>
        <v>9.9694544058962578</v>
      </c>
      <c r="S83" s="34">
        <f t="shared" si="24"/>
        <v>9.9768318021566191</v>
      </c>
      <c r="T83" s="34">
        <f t="shared" si="24"/>
        <v>9.9842146576902149</v>
      </c>
      <c r="U83" s="34">
        <f t="shared" si="24"/>
        <v>9.991602976536905</v>
      </c>
      <c r="V83" s="34">
        <f t="shared" si="24"/>
        <v>9.9989967627395426</v>
      </c>
      <c r="W83" s="34">
        <f t="shared" si="24"/>
        <v>10.006396020343969</v>
      </c>
      <c r="X83" s="34">
        <f t="shared" si="24"/>
        <v>10.013800753399023</v>
      </c>
      <c r="Y83" s="34">
        <f t="shared" si="24"/>
        <v>10.02121096595654</v>
      </c>
      <c r="Z83" s="34">
        <f t="shared" si="24"/>
        <v>10.028626662071346</v>
      </c>
    </row>
    <row r="84" spans="1:26">
      <c r="A84" s="133">
        <f>SUM(A78:A83)</f>
        <v>0.99999999999999956</v>
      </c>
      <c r="B84" s="53"/>
      <c r="C84" s="34">
        <f t="shared" si="22"/>
        <v>4904.6277197869504</v>
      </c>
      <c r="D84" s="34">
        <f t="shared" si="24"/>
        <v>5087.1779635174207</v>
      </c>
      <c r="E84" s="34">
        <f t="shared" si="24"/>
        <v>5276.5227273195387</v>
      </c>
      <c r="F84" s="34">
        <f t="shared" si="24"/>
        <v>5472.9149032303721</v>
      </c>
      <c r="G84" s="34">
        <f t="shared" si="24"/>
        <v>5676.6167959286067</v>
      </c>
      <c r="H84" s="34">
        <f t="shared" si="24"/>
        <v>5887.9004730730694</v>
      </c>
      <c r="I84" s="34">
        <f t="shared" si="24"/>
        <v>6107.048128680849</v>
      </c>
      <c r="J84" s="34">
        <f t="shared" si="24"/>
        <v>6334.3524600303508</v>
      </c>
      <c r="K84" s="34">
        <f t="shared" si="24"/>
        <v>6570.1170585926811</v>
      </c>
      <c r="L84" s="34">
        <f t="shared" si="24"/>
        <v>6574.9789452160394</v>
      </c>
      <c r="M84" s="34">
        <f t="shared" si="24"/>
        <v>6579.8444296354992</v>
      </c>
      <c r="N84" s="34">
        <f t="shared" si="24"/>
        <v>6584.7135145134289</v>
      </c>
      <c r="O84" s="34">
        <f t="shared" si="24"/>
        <v>6589.5862025141687</v>
      </c>
      <c r="P84" s="34">
        <f t="shared" si="24"/>
        <v>6594.4624963040287</v>
      </c>
      <c r="Q84" s="34">
        <f t="shared" si="24"/>
        <v>6599.3423985512936</v>
      </c>
      <c r="R84" s="34">
        <f t="shared" si="24"/>
        <v>6604.2259119262217</v>
      </c>
      <c r="S84" s="34">
        <f t="shared" si="24"/>
        <v>6609.1130391010465</v>
      </c>
      <c r="T84" s="34">
        <f t="shared" si="24"/>
        <v>6614.0037827499809</v>
      </c>
      <c r="U84" s="34">
        <f t="shared" si="24"/>
        <v>6618.8981455492158</v>
      </c>
      <c r="V84" s="34">
        <f t="shared" si="24"/>
        <v>6623.7961301769219</v>
      </c>
      <c r="W84" s="34">
        <f t="shared" si="24"/>
        <v>6628.6977393132529</v>
      </c>
      <c r="X84" s="34">
        <f t="shared" si="24"/>
        <v>6633.6029756403441</v>
      </c>
      <c r="Y84" s="34">
        <f t="shared" si="24"/>
        <v>6638.5118418423181</v>
      </c>
      <c r="Z84" s="34">
        <f t="shared" si="24"/>
        <v>6643.424340605281</v>
      </c>
    </row>
    <row r="85" spans="1:26">
      <c r="B85" s="53"/>
    </row>
    <row r="86" spans="1:26">
      <c r="A86" s="26" t="s">
        <v>408</v>
      </c>
    </row>
    <row r="87" spans="1:26">
      <c r="B87" s="26" t="s">
        <v>409</v>
      </c>
    </row>
    <row r="88" spans="1:26">
      <c r="B88" s="249">
        <f>210+127+237+230</f>
        <v>804</v>
      </c>
      <c r="C88">
        <f>B88/C75</f>
        <v>0.16392681482355692</v>
      </c>
    </row>
    <row r="89" spans="1:26">
      <c r="B89" s="26" t="s">
        <v>410</v>
      </c>
    </row>
    <row r="90" spans="1:26">
      <c r="B90" s="250">
        <v>0.95</v>
      </c>
      <c r="C90">
        <f>C88*B90</f>
        <v>0.15573047408237906</v>
      </c>
    </row>
    <row r="91" spans="1:26">
      <c r="A91" s="5" t="s">
        <v>367</v>
      </c>
    </row>
    <row r="92" spans="1:26">
      <c r="A92" s="26" t="s">
        <v>366</v>
      </c>
      <c r="B92" s="26" t="s">
        <v>411</v>
      </c>
    </row>
    <row r="93" spans="1:26">
      <c r="B93" s="249">
        <v>300</v>
      </c>
      <c r="C93" s="349">
        <f>$C$90*C75*$B$93</f>
        <v>229139.99999999994</v>
      </c>
      <c r="D93" s="349">
        <f t="shared" ref="D93:Z93" si="25">$C$90*D75*$B$93</f>
        <v>237668.59079999995</v>
      </c>
      <c r="E93" s="349">
        <f t="shared" si="25"/>
        <v>246514.61574957595</v>
      </c>
      <c r="F93" s="349">
        <f t="shared" si="25"/>
        <v>255689.88974777519</v>
      </c>
      <c r="G93">
        <f t="shared" si="25"/>
        <v>265206.66744418739</v>
      </c>
      <c r="H93">
        <f t="shared" si="25"/>
        <v>275077.65960646002</v>
      </c>
      <c r="I93">
        <f t="shared" si="25"/>
        <v>285316.05009701248</v>
      </c>
      <c r="J93">
        <f t="shared" si="25"/>
        <v>295935.51348162332</v>
      </c>
      <c r="K93">
        <f t="shared" si="25"/>
        <v>306950.23329340934</v>
      </c>
      <c r="L93">
        <f t="shared" si="25"/>
        <v>307177.37646604644</v>
      </c>
      <c r="M93">
        <f t="shared" si="25"/>
        <v>307404.68772463134</v>
      </c>
      <c r="N93">
        <f t="shared" si="25"/>
        <v>307632.16719354753</v>
      </c>
      <c r="O93">
        <f t="shared" si="25"/>
        <v>307859.81499727076</v>
      </c>
      <c r="P93">
        <f t="shared" si="25"/>
        <v>308087.63126036874</v>
      </c>
      <c r="Q93">
        <f t="shared" si="25"/>
        <v>308315.61610750132</v>
      </c>
      <c r="R93">
        <f t="shared" si="25"/>
        <v>308543.76966342091</v>
      </c>
      <c r="S93">
        <f t="shared" si="25"/>
        <v>308772.09205297183</v>
      </c>
      <c r="T93">
        <f t="shared" si="25"/>
        <v>309000.58340109099</v>
      </c>
      <c r="U93">
        <f t="shared" si="25"/>
        <v>309229.24383280781</v>
      </c>
      <c r="V93">
        <f t="shared" si="25"/>
        <v>309458.07347324403</v>
      </c>
      <c r="W93">
        <f t="shared" si="25"/>
        <v>309687.07244761434</v>
      </c>
      <c r="X93">
        <f t="shared" si="25"/>
        <v>309916.24088122544</v>
      </c>
      <c r="Y93">
        <f t="shared" si="25"/>
        <v>310145.57889947761</v>
      </c>
      <c r="Z93">
        <f t="shared" si="25"/>
        <v>310375.08662786317</v>
      </c>
    </row>
    <row r="94" spans="1:26">
      <c r="A94" s="26" t="s">
        <v>412</v>
      </c>
    </row>
    <row r="95" spans="1:26">
      <c r="A95" s="248">
        <v>0.05</v>
      </c>
      <c r="B95" s="54" t="s">
        <v>425</v>
      </c>
      <c r="G95">
        <f>G93*$A$95*0.75</f>
        <v>9945.2500291570286</v>
      </c>
      <c r="H95">
        <f t="shared" ref="H95:Z95" si="26">H93*$A$95</f>
        <v>13753.882980323002</v>
      </c>
      <c r="I95">
        <f t="shared" si="26"/>
        <v>14265.802504850624</v>
      </c>
      <c r="J95">
        <f t="shared" si="26"/>
        <v>14796.775674081167</v>
      </c>
      <c r="K95">
        <f t="shared" si="26"/>
        <v>15347.511664670468</v>
      </c>
      <c r="L95">
        <f t="shared" si="26"/>
        <v>15358.868823302322</v>
      </c>
      <c r="M95">
        <f t="shared" si="26"/>
        <v>15370.234386231568</v>
      </c>
      <c r="N95">
        <f t="shared" si="26"/>
        <v>15381.608359677377</v>
      </c>
      <c r="O95">
        <f t="shared" si="26"/>
        <v>15392.990749863538</v>
      </c>
      <c r="P95">
        <f t="shared" si="26"/>
        <v>15404.381563018438</v>
      </c>
      <c r="Q95">
        <f t="shared" si="26"/>
        <v>15415.780805375067</v>
      </c>
      <c r="R95">
        <f t="shared" si="26"/>
        <v>15427.188483171047</v>
      </c>
      <c r="S95">
        <f t="shared" si="26"/>
        <v>15438.604602648593</v>
      </c>
      <c r="T95">
        <f t="shared" si="26"/>
        <v>15450.029170054549</v>
      </c>
      <c r="U95">
        <f t="shared" si="26"/>
        <v>15461.462191640392</v>
      </c>
      <c r="V95">
        <f t="shared" si="26"/>
        <v>15472.903673662202</v>
      </c>
      <c r="W95">
        <f t="shared" si="26"/>
        <v>15484.353622380717</v>
      </c>
      <c r="X95">
        <f t="shared" si="26"/>
        <v>15495.812044061273</v>
      </c>
      <c r="Y95">
        <f t="shared" si="26"/>
        <v>15507.278944973881</v>
      </c>
      <c r="Z95">
        <f t="shared" si="26"/>
        <v>15518.75433139316</v>
      </c>
    </row>
    <row r="96" spans="1:26">
      <c r="A96" s="248">
        <v>0.05</v>
      </c>
      <c r="B96" s="78" t="s">
        <v>418</v>
      </c>
      <c r="G96">
        <f>G93*$A$96*0.75</f>
        <v>9945.2500291570286</v>
      </c>
      <c r="H96">
        <f t="shared" ref="H96:Z96" si="27">H93*$A$96</f>
        <v>13753.882980323002</v>
      </c>
      <c r="I96">
        <f t="shared" si="27"/>
        <v>14265.802504850624</v>
      </c>
      <c r="J96">
        <f t="shared" si="27"/>
        <v>14796.775674081167</v>
      </c>
      <c r="K96">
        <f t="shared" si="27"/>
        <v>15347.511664670468</v>
      </c>
      <c r="L96">
        <f t="shared" si="27"/>
        <v>15358.868823302322</v>
      </c>
      <c r="M96">
        <f t="shared" si="27"/>
        <v>15370.234386231568</v>
      </c>
      <c r="N96">
        <f t="shared" si="27"/>
        <v>15381.608359677377</v>
      </c>
      <c r="O96">
        <f t="shared" si="27"/>
        <v>15392.990749863538</v>
      </c>
      <c r="P96">
        <f t="shared" si="27"/>
        <v>15404.381563018438</v>
      </c>
      <c r="Q96">
        <f t="shared" si="27"/>
        <v>15415.780805375067</v>
      </c>
      <c r="R96">
        <f t="shared" si="27"/>
        <v>15427.188483171047</v>
      </c>
      <c r="S96">
        <f t="shared" si="27"/>
        <v>15438.604602648593</v>
      </c>
      <c r="T96">
        <f t="shared" si="27"/>
        <v>15450.029170054549</v>
      </c>
      <c r="U96">
        <f t="shared" si="27"/>
        <v>15461.462191640392</v>
      </c>
      <c r="V96">
        <f t="shared" si="27"/>
        <v>15472.903673662202</v>
      </c>
      <c r="W96">
        <f t="shared" si="27"/>
        <v>15484.353622380717</v>
      </c>
      <c r="X96">
        <f t="shared" si="27"/>
        <v>15495.812044061273</v>
      </c>
      <c r="Y96">
        <f t="shared" si="27"/>
        <v>15507.278944973881</v>
      </c>
      <c r="Z96">
        <f t="shared" si="27"/>
        <v>15518.75433139316</v>
      </c>
    </row>
    <row r="97" spans="1:26">
      <c r="A97" s="70"/>
      <c r="B97" s="26"/>
    </row>
    <row r="98" spans="1:26">
      <c r="A98" s="5" t="s">
        <v>277</v>
      </c>
    </row>
    <row r="99" spans="1:26">
      <c r="A99" s="70" t="s">
        <v>366</v>
      </c>
      <c r="B99" s="26" t="s">
        <v>411</v>
      </c>
      <c r="C99" s="208">
        <f>C79*$C$88</f>
        <v>14.864923820551866</v>
      </c>
      <c r="D99" s="208">
        <f t="shared" ref="D99:Z99" si="28">D79*$C$88</f>
        <v>15.418196285152804</v>
      </c>
      <c r="E99" s="208">
        <f t="shared" si="28"/>
        <v>15.992061550886193</v>
      </c>
      <c r="F99" s="208">
        <f t="shared" si="28"/>
        <v>16.587286081810181</v>
      </c>
      <c r="G99" s="208">
        <f t="shared" si="28"/>
        <v>17.204664869775154</v>
      </c>
      <c r="H99" s="208">
        <f t="shared" si="28"/>
        <v>17.845022496228186</v>
      </c>
      <c r="I99" s="208">
        <f t="shared" si="28"/>
        <v>18.509214233537797</v>
      </c>
      <c r="J99" s="208">
        <f t="shared" si="28"/>
        <v>19.198127187310075</v>
      </c>
      <c r="K99" s="208">
        <f t="shared" si="28"/>
        <v>19.912681481221757</v>
      </c>
      <c r="L99" s="208">
        <f t="shared" si="28"/>
        <v>19.927416865517863</v>
      </c>
      <c r="M99" s="208">
        <f t="shared" si="28"/>
        <v>19.942163153998344</v>
      </c>
      <c r="N99" s="208">
        <f t="shared" si="28"/>
        <v>19.956920354732301</v>
      </c>
      <c r="O99" s="208">
        <f t="shared" si="28"/>
        <v>19.971688475794803</v>
      </c>
      <c r="P99" s="208">
        <f t="shared" si="28"/>
        <v>19.986467525266889</v>
      </c>
      <c r="Q99" s="208">
        <f t="shared" si="28"/>
        <v>20.00125751123559</v>
      </c>
      <c r="R99" s="208">
        <f t="shared" si="28"/>
        <v>20.016058441793902</v>
      </c>
      <c r="S99" s="208">
        <f t="shared" si="28"/>
        <v>20.03087032504083</v>
      </c>
      <c r="T99" s="208">
        <f t="shared" si="28"/>
        <v>20.045693169081357</v>
      </c>
      <c r="U99" s="208">
        <f t="shared" si="28"/>
        <v>20.060526982026477</v>
      </c>
      <c r="V99" s="208">
        <f t="shared" si="28"/>
        <v>20.075371771993176</v>
      </c>
      <c r="W99" s="208">
        <f t="shared" si="28"/>
        <v>20.090227547104451</v>
      </c>
      <c r="X99" s="208">
        <f t="shared" si="28"/>
        <v>20.105094315489307</v>
      </c>
      <c r="Y99" s="208">
        <f t="shared" si="28"/>
        <v>20.119972085282768</v>
      </c>
      <c r="Z99" s="208">
        <f t="shared" si="28"/>
        <v>20.134860864625875</v>
      </c>
    </row>
    <row r="100" spans="1:26">
      <c r="A100" s="70"/>
      <c r="B100" s="249">
        <v>300</v>
      </c>
      <c r="C100" s="349">
        <f>C99*$B$100</f>
        <v>4459.47714616556</v>
      </c>
      <c r="D100" s="349">
        <f t="shared" ref="D100:Z100" si="29">D99*$B$100</f>
        <v>4625.4588855458414</v>
      </c>
      <c r="E100" s="349">
        <f t="shared" si="29"/>
        <v>4797.6184652658576</v>
      </c>
      <c r="F100" s="349">
        <f t="shared" si="29"/>
        <v>4976.185824543054</v>
      </c>
      <c r="G100">
        <f t="shared" si="29"/>
        <v>5161.3994609325464</v>
      </c>
      <c r="H100">
        <f t="shared" si="29"/>
        <v>5353.5067488684554</v>
      </c>
      <c r="I100">
        <f t="shared" si="29"/>
        <v>5552.7642700613387</v>
      </c>
      <c r="J100">
        <f t="shared" si="29"/>
        <v>5759.4381561930222</v>
      </c>
      <c r="K100">
        <f t="shared" si="29"/>
        <v>5973.8044443665267</v>
      </c>
      <c r="L100">
        <f t="shared" si="29"/>
        <v>5978.2250596553586</v>
      </c>
      <c r="M100">
        <f t="shared" si="29"/>
        <v>5982.6489461995034</v>
      </c>
      <c r="N100">
        <f t="shared" si="29"/>
        <v>5987.0761064196904</v>
      </c>
      <c r="O100">
        <f t="shared" si="29"/>
        <v>5991.5065427384407</v>
      </c>
      <c r="P100">
        <f t="shared" si="29"/>
        <v>5995.9402575800668</v>
      </c>
      <c r="Q100">
        <f t="shared" si="29"/>
        <v>6000.377253370677</v>
      </c>
      <c r="R100">
        <f t="shared" si="29"/>
        <v>6004.8175325381708</v>
      </c>
      <c r="S100">
        <f t="shared" si="29"/>
        <v>6009.2610975122489</v>
      </c>
      <c r="T100">
        <f t="shared" si="29"/>
        <v>6013.7079507244071</v>
      </c>
      <c r="U100">
        <f t="shared" si="29"/>
        <v>6018.158094607943</v>
      </c>
      <c r="V100">
        <f t="shared" si="29"/>
        <v>6022.6115315979523</v>
      </c>
      <c r="W100">
        <f t="shared" si="29"/>
        <v>6027.0682641313351</v>
      </c>
      <c r="X100">
        <f t="shared" si="29"/>
        <v>6031.5282946467923</v>
      </c>
      <c r="Y100">
        <f t="shared" si="29"/>
        <v>6035.9916255848302</v>
      </c>
      <c r="Z100">
        <f t="shared" si="29"/>
        <v>6040.4582593877622</v>
      </c>
    </row>
    <row r="101" spans="1:26">
      <c r="A101" s="248">
        <v>0.05</v>
      </c>
      <c r="B101" s="54" t="s">
        <v>433</v>
      </c>
      <c r="G101">
        <f>G100*$A$101*0.75</f>
        <v>193.5524797849705</v>
      </c>
      <c r="H101">
        <f t="shared" ref="H101:Z101" si="30">H100*$A$101</f>
        <v>267.67533744342279</v>
      </c>
      <c r="I101">
        <f t="shared" si="30"/>
        <v>277.63821350306694</v>
      </c>
      <c r="J101">
        <f t="shared" si="30"/>
        <v>287.9719078096511</v>
      </c>
      <c r="K101">
        <f t="shared" si="30"/>
        <v>298.69022221832637</v>
      </c>
      <c r="L101">
        <f t="shared" si="30"/>
        <v>298.91125298276796</v>
      </c>
      <c r="M101">
        <f t="shared" si="30"/>
        <v>299.13244730997519</v>
      </c>
      <c r="N101">
        <f t="shared" si="30"/>
        <v>299.35380532098452</v>
      </c>
      <c r="O101">
        <f t="shared" si="30"/>
        <v>299.57532713692206</v>
      </c>
      <c r="P101">
        <f t="shared" si="30"/>
        <v>299.79701287900338</v>
      </c>
      <c r="Q101">
        <f t="shared" si="30"/>
        <v>300.01886266853387</v>
      </c>
      <c r="R101">
        <f t="shared" si="30"/>
        <v>300.24087662690857</v>
      </c>
      <c r="S101">
        <f t="shared" si="30"/>
        <v>300.46305487561244</v>
      </c>
      <c r="T101">
        <f t="shared" si="30"/>
        <v>300.68539753622036</v>
      </c>
      <c r="U101">
        <f t="shared" si="30"/>
        <v>300.90790473039715</v>
      </c>
      <c r="V101">
        <f t="shared" si="30"/>
        <v>301.13057657989765</v>
      </c>
      <c r="W101">
        <f t="shared" si="30"/>
        <v>301.35341320656676</v>
      </c>
      <c r="X101">
        <f t="shared" si="30"/>
        <v>301.57641473233963</v>
      </c>
      <c r="Y101">
        <f t="shared" si="30"/>
        <v>301.79958127924152</v>
      </c>
      <c r="Z101">
        <f t="shared" si="30"/>
        <v>302.02291296938813</v>
      </c>
    </row>
    <row r="102" spans="1:26">
      <c r="A102" s="248">
        <v>0.05</v>
      </c>
      <c r="B102" s="78" t="s">
        <v>427</v>
      </c>
      <c r="G102">
        <f>G100*$A$102*0.75</f>
        <v>193.5524797849705</v>
      </c>
      <c r="H102">
        <f t="shared" ref="H102:Z102" si="31">H100*$A$102</f>
        <v>267.67533744342279</v>
      </c>
      <c r="I102">
        <f t="shared" si="31"/>
        <v>277.63821350306694</v>
      </c>
      <c r="J102">
        <f t="shared" si="31"/>
        <v>287.9719078096511</v>
      </c>
      <c r="K102">
        <f t="shared" si="31"/>
        <v>298.69022221832637</v>
      </c>
      <c r="L102">
        <f t="shared" si="31"/>
        <v>298.91125298276796</v>
      </c>
      <c r="M102">
        <f t="shared" si="31"/>
        <v>299.13244730997519</v>
      </c>
      <c r="N102">
        <f t="shared" si="31"/>
        <v>299.35380532098452</v>
      </c>
      <c r="O102">
        <f t="shared" si="31"/>
        <v>299.57532713692206</v>
      </c>
      <c r="P102">
        <f t="shared" si="31"/>
        <v>299.79701287900338</v>
      </c>
      <c r="Q102">
        <f t="shared" si="31"/>
        <v>300.01886266853387</v>
      </c>
      <c r="R102">
        <f t="shared" si="31"/>
        <v>300.24087662690857</v>
      </c>
      <c r="S102">
        <f t="shared" si="31"/>
        <v>300.46305487561244</v>
      </c>
      <c r="T102">
        <f t="shared" si="31"/>
        <v>300.68539753622036</v>
      </c>
      <c r="U102">
        <f t="shared" si="31"/>
        <v>300.90790473039715</v>
      </c>
      <c r="V102">
        <f t="shared" si="31"/>
        <v>301.13057657989765</v>
      </c>
      <c r="W102">
        <f t="shared" si="31"/>
        <v>301.35341320656676</v>
      </c>
      <c r="X102">
        <f t="shared" si="31"/>
        <v>301.57641473233963</v>
      </c>
      <c r="Y102">
        <f t="shared" si="31"/>
        <v>301.79958127924152</v>
      </c>
      <c r="Z102">
        <f t="shared" si="31"/>
        <v>302.02291296938813</v>
      </c>
    </row>
    <row r="103" spans="1:26">
      <c r="A103" s="70"/>
      <c r="B103" s="26"/>
    </row>
    <row r="104" spans="1:26">
      <c r="A104" s="5" t="s">
        <v>413</v>
      </c>
      <c r="B104" s="70" t="s">
        <v>456</v>
      </c>
      <c r="C104">
        <v>100</v>
      </c>
    </row>
    <row r="105" spans="1:26">
      <c r="A105" s="70"/>
      <c r="B105" s="26" t="s">
        <v>458</v>
      </c>
      <c r="C105">
        <v>2.5</v>
      </c>
      <c r="G105" s="126">
        <v>2.5</v>
      </c>
      <c r="H105" s="126">
        <f t="shared" ref="H105:Z105" si="32">G105*1.01</f>
        <v>2.5249999999999999</v>
      </c>
      <c r="I105" s="126">
        <f t="shared" si="32"/>
        <v>2.5502500000000001</v>
      </c>
      <c r="J105" s="126">
        <f t="shared" si="32"/>
        <v>2.5757525000000001</v>
      </c>
      <c r="K105" s="126">
        <f t="shared" si="32"/>
        <v>2.6015100250000001</v>
      </c>
      <c r="L105" s="126">
        <f t="shared" si="32"/>
        <v>2.62752512525</v>
      </c>
      <c r="M105" s="126">
        <f t="shared" si="32"/>
        <v>2.6538003765025002</v>
      </c>
      <c r="N105" s="126">
        <f t="shared" si="32"/>
        <v>2.6803383802675254</v>
      </c>
      <c r="O105" s="126">
        <f t="shared" si="32"/>
        <v>2.7071417640702005</v>
      </c>
      <c r="P105" s="126">
        <f t="shared" si="32"/>
        <v>2.7342131817109023</v>
      </c>
      <c r="Q105" s="126">
        <f t="shared" si="32"/>
        <v>2.7615553135280115</v>
      </c>
      <c r="R105" s="126">
        <f t="shared" si="32"/>
        <v>2.7891708666632917</v>
      </c>
      <c r="S105" s="126">
        <f t="shared" si="32"/>
        <v>2.8170625753299245</v>
      </c>
      <c r="T105" s="126">
        <f t="shared" si="32"/>
        <v>2.8452332010832238</v>
      </c>
      <c r="U105" s="126">
        <f t="shared" si="32"/>
        <v>2.8736855330940561</v>
      </c>
      <c r="V105" s="126">
        <f t="shared" si="32"/>
        <v>2.9024223884249967</v>
      </c>
      <c r="W105" s="126">
        <f t="shared" si="32"/>
        <v>2.9314466123092466</v>
      </c>
      <c r="X105" s="126">
        <f t="shared" si="32"/>
        <v>2.960761078432339</v>
      </c>
      <c r="Y105" s="126">
        <f t="shared" si="32"/>
        <v>2.9903686892166625</v>
      </c>
      <c r="Z105" s="126">
        <f t="shared" si="32"/>
        <v>3.0202723761088293</v>
      </c>
    </row>
    <row r="106" spans="1:26">
      <c r="A106" s="70"/>
      <c r="B106" s="26" t="s">
        <v>457</v>
      </c>
      <c r="C106">
        <v>365</v>
      </c>
      <c r="G106">
        <f>270*G105*$C$104</f>
        <v>67500</v>
      </c>
      <c r="H106">
        <f t="shared" ref="H106" si="33">$C$106*H105*$C$104</f>
        <v>92162.5</v>
      </c>
      <c r="I106">
        <f t="shared" ref="I106:Z106" si="34">$C$106*I105*$C$104</f>
        <v>93084.125</v>
      </c>
      <c r="J106">
        <f t="shared" si="34"/>
        <v>94014.966250000012</v>
      </c>
      <c r="K106">
        <f t="shared" si="34"/>
        <v>94955.115912499998</v>
      </c>
      <c r="L106">
        <f t="shared" si="34"/>
        <v>95904.667071624994</v>
      </c>
      <c r="M106">
        <f t="shared" si="34"/>
        <v>96863.713742341264</v>
      </c>
      <c r="N106">
        <f t="shared" si="34"/>
        <v>97832.350879764679</v>
      </c>
      <c r="O106">
        <f t="shared" si="34"/>
        <v>98810.674388562315</v>
      </c>
      <c r="P106">
        <f t="shared" si="34"/>
        <v>99798.781132447941</v>
      </c>
      <c r="Q106">
        <f t="shared" si="34"/>
        <v>100796.76894377242</v>
      </c>
      <c r="R106">
        <f t="shared" si="34"/>
        <v>101804.73663321014</v>
      </c>
      <c r="S106">
        <f t="shared" si="34"/>
        <v>102822.78399954225</v>
      </c>
      <c r="T106">
        <f t="shared" si="34"/>
        <v>103851.01183953766</v>
      </c>
      <c r="U106">
        <f t="shared" si="34"/>
        <v>104889.52195793304</v>
      </c>
      <c r="V106">
        <f t="shared" si="34"/>
        <v>105938.41717751238</v>
      </c>
      <c r="W106">
        <f t="shared" si="34"/>
        <v>106997.8013492875</v>
      </c>
      <c r="X106">
        <f t="shared" si="34"/>
        <v>108067.77936278038</v>
      </c>
      <c r="Y106">
        <f t="shared" si="34"/>
        <v>109148.45715640817</v>
      </c>
      <c r="Z106">
        <f t="shared" si="34"/>
        <v>110239.94172797227</v>
      </c>
    </row>
    <row r="107" spans="1:26">
      <c r="A107" s="70"/>
      <c r="B107" s="26"/>
    </row>
    <row r="108" spans="1:26">
      <c r="A108" s="70" t="s">
        <v>511</v>
      </c>
      <c r="B108" s="47" t="s">
        <v>95</v>
      </c>
      <c r="C108" s="89">
        <v>0.1</v>
      </c>
      <c r="G108">
        <f t="shared" ref="G108:Z114" si="35">G$106*$C108</f>
        <v>6750</v>
      </c>
      <c r="H108">
        <f t="shared" si="35"/>
        <v>9216.25</v>
      </c>
      <c r="I108">
        <f t="shared" si="35"/>
        <v>9308.4125000000004</v>
      </c>
      <c r="J108">
        <f t="shared" si="35"/>
        <v>9401.4966250000016</v>
      </c>
      <c r="K108">
        <f t="shared" si="35"/>
        <v>9495.5115912500005</v>
      </c>
      <c r="L108">
        <f t="shared" si="35"/>
        <v>9590.466707162499</v>
      </c>
      <c r="M108">
        <f t="shared" si="35"/>
        <v>9686.3713742341261</v>
      </c>
      <c r="N108">
        <f t="shared" si="35"/>
        <v>9783.235087976469</v>
      </c>
      <c r="O108">
        <f t="shared" si="35"/>
        <v>9881.0674388562329</v>
      </c>
      <c r="P108">
        <f t="shared" si="35"/>
        <v>9979.8781132447948</v>
      </c>
      <c r="Q108">
        <f t="shared" si="35"/>
        <v>10079.676894377242</v>
      </c>
      <c r="R108">
        <f t="shared" si="35"/>
        <v>10180.473663321014</v>
      </c>
      <c r="S108">
        <f t="shared" si="35"/>
        <v>10282.278399954226</v>
      </c>
      <c r="T108">
        <f t="shared" si="35"/>
        <v>10385.101183953768</v>
      </c>
      <c r="U108">
        <f t="shared" si="35"/>
        <v>10488.952195793305</v>
      </c>
      <c r="V108">
        <f t="shared" si="35"/>
        <v>10593.841717751238</v>
      </c>
      <c r="W108">
        <f t="shared" si="35"/>
        <v>10699.780134928751</v>
      </c>
      <c r="X108">
        <f t="shared" si="35"/>
        <v>10806.777936278038</v>
      </c>
      <c r="Y108">
        <f t="shared" si="35"/>
        <v>10914.845715640819</v>
      </c>
      <c r="Z108">
        <f t="shared" si="35"/>
        <v>11023.994172797227</v>
      </c>
    </row>
    <row r="109" spans="1:26">
      <c r="A109" s="70"/>
      <c r="B109" s="78" t="s">
        <v>510</v>
      </c>
      <c r="C109" s="89">
        <v>0.05</v>
      </c>
      <c r="G109">
        <f t="shared" si="35"/>
        <v>3375</v>
      </c>
      <c r="H109">
        <f t="shared" si="35"/>
        <v>4608.125</v>
      </c>
      <c r="I109">
        <f t="shared" si="35"/>
        <v>4654.2062500000002</v>
      </c>
      <c r="J109">
        <f t="shared" si="35"/>
        <v>4700.7483125000008</v>
      </c>
      <c r="K109">
        <f t="shared" si="35"/>
        <v>4747.7557956250002</v>
      </c>
      <c r="L109">
        <f t="shared" si="35"/>
        <v>4795.2333535812495</v>
      </c>
      <c r="M109">
        <f t="shared" si="35"/>
        <v>4843.185687117063</v>
      </c>
      <c r="N109">
        <f t="shared" si="35"/>
        <v>4891.6175439882345</v>
      </c>
      <c r="O109">
        <f t="shared" si="35"/>
        <v>4940.5337194281165</v>
      </c>
      <c r="P109">
        <f t="shared" si="35"/>
        <v>4989.9390566223974</v>
      </c>
      <c r="Q109">
        <f t="shared" si="35"/>
        <v>5039.8384471886211</v>
      </c>
      <c r="R109">
        <f t="shared" si="35"/>
        <v>5090.2368316605071</v>
      </c>
      <c r="S109">
        <f t="shared" si="35"/>
        <v>5141.1391999771131</v>
      </c>
      <c r="T109">
        <f t="shared" si="35"/>
        <v>5192.5505919768839</v>
      </c>
      <c r="U109">
        <f t="shared" si="35"/>
        <v>5244.4760978966524</v>
      </c>
      <c r="V109">
        <f t="shared" si="35"/>
        <v>5296.9208588756192</v>
      </c>
      <c r="W109">
        <f t="shared" si="35"/>
        <v>5349.8900674643755</v>
      </c>
      <c r="X109">
        <f t="shared" si="35"/>
        <v>5403.3889681390192</v>
      </c>
      <c r="Y109">
        <f t="shared" si="35"/>
        <v>5457.4228578204093</v>
      </c>
      <c r="Z109">
        <f t="shared" si="35"/>
        <v>5511.9970863986136</v>
      </c>
    </row>
    <row r="110" spans="1:26">
      <c r="A110" s="70"/>
      <c r="B110" s="47" t="s">
        <v>148</v>
      </c>
      <c r="C110" s="89">
        <v>0.05</v>
      </c>
      <c r="G110">
        <f t="shared" si="35"/>
        <v>3375</v>
      </c>
      <c r="H110">
        <f t="shared" si="35"/>
        <v>4608.125</v>
      </c>
      <c r="I110">
        <f t="shared" si="35"/>
        <v>4654.2062500000002</v>
      </c>
      <c r="J110">
        <f t="shared" si="35"/>
        <v>4700.7483125000008</v>
      </c>
      <c r="K110">
        <f t="shared" si="35"/>
        <v>4747.7557956250002</v>
      </c>
      <c r="L110">
        <f t="shared" si="35"/>
        <v>4795.2333535812495</v>
      </c>
      <c r="M110">
        <f t="shared" si="35"/>
        <v>4843.185687117063</v>
      </c>
      <c r="N110">
        <f t="shared" si="35"/>
        <v>4891.6175439882345</v>
      </c>
      <c r="O110">
        <f t="shared" si="35"/>
        <v>4940.5337194281165</v>
      </c>
      <c r="P110">
        <f t="shared" si="35"/>
        <v>4989.9390566223974</v>
      </c>
      <c r="Q110">
        <f t="shared" si="35"/>
        <v>5039.8384471886211</v>
      </c>
      <c r="R110">
        <f t="shared" si="35"/>
        <v>5090.2368316605071</v>
      </c>
      <c r="S110">
        <f t="shared" si="35"/>
        <v>5141.1391999771131</v>
      </c>
      <c r="T110">
        <f t="shared" si="35"/>
        <v>5192.5505919768839</v>
      </c>
      <c r="U110">
        <f t="shared" si="35"/>
        <v>5244.4760978966524</v>
      </c>
      <c r="V110">
        <f t="shared" si="35"/>
        <v>5296.9208588756192</v>
      </c>
      <c r="W110">
        <f t="shared" si="35"/>
        <v>5349.8900674643755</v>
      </c>
      <c r="X110">
        <f t="shared" si="35"/>
        <v>5403.3889681390192</v>
      </c>
      <c r="Y110">
        <f t="shared" si="35"/>
        <v>5457.4228578204093</v>
      </c>
      <c r="Z110">
        <f t="shared" si="35"/>
        <v>5511.9970863986136</v>
      </c>
    </row>
    <row r="111" spans="1:26">
      <c r="A111" s="70"/>
      <c r="B111" s="78" t="s">
        <v>437</v>
      </c>
      <c r="C111" s="89">
        <v>0.15</v>
      </c>
      <c r="G111">
        <f t="shared" si="35"/>
        <v>10125</v>
      </c>
      <c r="H111">
        <f t="shared" si="35"/>
        <v>13824.375</v>
      </c>
      <c r="I111">
        <f t="shared" si="35"/>
        <v>13962.61875</v>
      </c>
      <c r="J111">
        <f t="shared" si="35"/>
        <v>14102.244937500001</v>
      </c>
      <c r="K111">
        <f t="shared" si="35"/>
        <v>14243.267386874999</v>
      </c>
      <c r="L111">
        <f t="shared" si="35"/>
        <v>14385.700060743749</v>
      </c>
      <c r="M111">
        <f t="shared" si="35"/>
        <v>14529.55706135119</v>
      </c>
      <c r="N111">
        <f t="shared" si="35"/>
        <v>14674.852631964701</v>
      </c>
      <c r="O111">
        <f t="shared" si="35"/>
        <v>14821.601158284346</v>
      </c>
      <c r="P111">
        <f t="shared" si="35"/>
        <v>14969.81716986719</v>
      </c>
      <c r="Q111">
        <f t="shared" si="35"/>
        <v>15119.515341565862</v>
      </c>
      <c r="R111">
        <f t="shared" si="35"/>
        <v>15270.71049498152</v>
      </c>
      <c r="S111">
        <f t="shared" si="35"/>
        <v>15423.417599931337</v>
      </c>
      <c r="T111">
        <f t="shared" si="35"/>
        <v>15577.651775930648</v>
      </c>
      <c r="U111">
        <f t="shared" si="35"/>
        <v>15733.428293689956</v>
      </c>
      <c r="V111">
        <f t="shared" si="35"/>
        <v>15890.762576626857</v>
      </c>
      <c r="W111">
        <f t="shared" si="35"/>
        <v>16049.670202393125</v>
      </c>
      <c r="X111">
        <f t="shared" si="35"/>
        <v>16210.166904417056</v>
      </c>
      <c r="Y111">
        <f t="shared" si="35"/>
        <v>16372.268573461224</v>
      </c>
      <c r="Z111">
        <f t="shared" si="35"/>
        <v>16535.991259195838</v>
      </c>
    </row>
    <row r="112" spans="1:26">
      <c r="A112" s="70"/>
      <c r="B112" s="47" t="s">
        <v>152</v>
      </c>
      <c r="C112" s="89">
        <v>0.15</v>
      </c>
      <c r="G112">
        <f t="shared" si="35"/>
        <v>10125</v>
      </c>
      <c r="H112">
        <f t="shared" si="35"/>
        <v>13824.375</v>
      </c>
      <c r="I112">
        <f t="shared" si="35"/>
        <v>13962.61875</v>
      </c>
      <c r="J112">
        <f t="shared" si="35"/>
        <v>14102.244937500001</v>
      </c>
      <c r="K112">
        <f t="shared" si="35"/>
        <v>14243.267386874999</v>
      </c>
      <c r="L112">
        <f t="shared" si="35"/>
        <v>14385.700060743749</v>
      </c>
      <c r="M112">
        <f t="shared" si="35"/>
        <v>14529.55706135119</v>
      </c>
      <c r="N112">
        <f t="shared" si="35"/>
        <v>14674.852631964701</v>
      </c>
      <c r="O112">
        <f t="shared" si="35"/>
        <v>14821.601158284346</v>
      </c>
      <c r="P112">
        <f t="shared" si="35"/>
        <v>14969.81716986719</v>
      </c>
      <c r="Q112">
        <f t="shared" si="35"/>
        <v>15119.515341565862</v>
      </c>
      <c r="R112">
        <f t="shared" si="35"/>
        <v>15270.71049498152</v>
      </c>
      <c r="S112">
        <f t="shared" si="35"/>
        <v>15423.417599931337</v>
      </c>
      <c r="T112">
        <f t="shared" si="35"/>
        <v>15577.651775930648</v>
      </c>
      <c r="U112">
        <f t="shared" si="35"/>
        <v>15733.428293689956</v>
      </c>
      <c r="V112">
        <f t="shared" si="35"/>
        <v>15890.762576626857</v>
      </c>
      <c r="W112">
        <f t="shared" si="35"/>
        <v>16049.670202393125</v>
      </c>
      <c r="X112">
        <f t="shared" si="35"/>
        <v>16210.166904417056</v>
      </c>
      <c r="Y112">
        <f t="shared" si="35"/>
        <v>16372.268573461224</v>
      </c>
      <c r="Z112">
        <f t="shared" si="35"/>
        <v>16535.991259195838</v>
      </c>
    </row>
    <row r="113" spans="1:26">
      <c r="A113" s="70" t="s">
        <v>512</v>
      </c>
      <c r="B113" s="78" t="s">
        <v>442</v>
      </c>
      <c r="C113" s="89">
        <v>0.25</v>
      </c>
      <c r="G113">
        <f t="shared" si="35"/>
        <v>16875</v>
      </c>
      <c r="H113">
        <f t="shared" si="35"/>
        <v>23040.625</v>
      </c>
      <c r="I113">
        <f t="shared" si="35"/>
        <v>23271.03125</v>
      </c>
      <c r="J113">
        <f t="shared" si="35"/>
        <v>23503.741562500003</v>
      </c>
      <c r="K113">
        <f t="shared" si="35"/>
        <v>23738.778978124999</v>
      </c>
      <c r="L113">
        <f t="shared" si="35"/>
        <v>23976.166767906248</v>
      </c>
      <c r="M113">
        <f t="shared" si="35"/>
        <v>24215.928435585316</v>
      </c>
      <c r="N113">
        <f t="shared" si="35"/>
        <v>24458.08771994117</v>
      </c>
      <c r="O113">
        <f t="shared" si="35"/>
        <v>24702.668597140579</v>
      </c>
      <c r="P113">
        <f t="shared" si="35"/>
        <v>24949.695283111985</v>
      </c>
      <c r="Q113">
        <f t="shared" si="35"/>
        <v>25199.192235943105</v>
      </c>
      <c r="R113">
        <f t="shared" si="35"/>
        <v>25451.184158302534</v>
      </c>
      <c r="S113">
        <f t="shared" si="35"/>
        <v>25705.695999885564</v>
      </c>
      <c r="T113">
        <f t="shared" si="35"/>
        <v>25962.752959884416</v>
      </c>
      <c r="U113">
        <f t="shared" si="35"/>
        <v>26222.380489483261</v>
      </c>
      <c r="V113">
        <f t="shared" si="35"/>
        <v>26484.604294378096</v>
      </c>
      <c r="W113">
        <f t="shared" si="35"/>
        <v>26749.450337321876</v>
      </c>
      <c r="X113">
        <f t="shared" si="35"/>
        <v>27016.944840695094</v>
      </c>
      <c r="Y113">
        <f t="shared" si="35"/>
        <v>27287.114289102043</v>
      </c>
      <c r="Z113">
        <f t="shared" si="35"/>
        <v>27559.985431993067</v>
      </c>
    </row>
    <row r="114" spans="1:26">
      <c r="A114" s="70"/>
      <c r="B114" s="78" t="s">
        <v>474</v>
      </c>
      <c r="C114" s="89">
        <v>0.25</v>
      </c>
      <c r="G114">
        <f t="shared" si="35"/>
        <v>16875</v>
      </c>
      <c r="H114">
        <f t="shared" si="35"/>
        <v>23040.625</v>
      </c>
      <c r="I114">
        <f t="shared" si="35"/>
        <v>23271.03125</v>
      </c>
      <c r="J114">
        <f t="shared" si="35"/>
        <v>23503.741562500003</v>
      </c>
      <c r="K114">
        <f t="shared" si="35"/>
        <v>23738.778978124999</v>
      </c>
      <c r="L114">
        <f t="shared" si="35"/>
        <v>23976.166767906248</v>
      </c>
      <c r="M114">
        <f t="shared" si="35"/>
        <v>24215.928435585316</v>
      </c>
      <c r="N114">
        <f t="shared" si="35"/>
        <v>24458.08771994117</v>
      </c>
      <c r="O114">
        <f t="shared" si="35"/>
        <v>24702.668597140579</v>
      </c>
      <c r="P114">
        <f t="shared" si="35"/>
        <v>24949.695283111985</v>
      </c>
      <c r="Q114">
        <f t="shared" si="35"/>
        <v>25199.192235943105</v>
      </c>
      <c r="R114">
        <f t="shared" si="35"/>
        <v>25451.184158302534</v>
      </c>
      <c r="S114">
        <f t="shared" si="35"/>
        <v>25705.695999885564</v>
      </c>
      <c r="T114">
        <f t="shared" si="35"/>
        <v>25962.752959884416</v>
      </c>
      <c r="U114">
        <f t="shared" si="35"/>
        <v>26222.380489483261</v>
      </c>
      <c r="V114">
        <f t="shared" si="35"/>
        <v>26484.604294378096</v>
      </c>
      <c r="W114">
        <f t="shared" si="35"/>
        <v>26749.450337321876</v>
      </c>
      <c r="X114">
        <f t="shared" si="35"/>
        <v>27016.944840695094</v>
      </c>
      <c r="Y114">
        <f t="shared" si="35"/>
        <v>27287.114289102043</v>
      </c>
      <c r="Z114">
        <f t="shared" si="35"/>
        <v>27559.985431993067</v>
      </c>
    </row>
    <row r="115" spans="1:26">
      <c r="A115" s="70"/>
      <c r="C115" s="274">
        <f>SUM(C108:C114)</f>
        <v>1</v>
      </c>
    </row>
    <row r="116" spans="1:26">
      <c r="A116" s="5" t="s">
        <v>368</v>
      </c>
      <c r="B116" s="53"/>
    </row>
    <row r="117" spans="1:26">
      <c r="A117" s="70"/>
      <c r="B117" s="70" t="s">
        <v>366</v>
      </c>
      <c r="C117" s="349">
        <f t="shared" ref="C117:Z117" si="36">$B$90*C83*300</f>
        <v>2110.0870834041652</v>
      </c>
      <c r="D117" s="349">
        <f t="shared" si="36"/>
        <v>2188.6245246484677</v>
      </c>
      <c r="E117" s="349">
        <f t="shared" si="36"/>
        <v>2270.0851294558843</v>
      </c>
      <c r="F117" s="349">
        <f t="shared" si="36"/>
        <v>2354.5776979742323</v>
      </c>
      <c r="G117">
        <f t="shared" si="36"/>
        <v>2442.2150798928337</v>
      </c>
      <c r="H117">
        <f t="shared" si="36"/>
        <v>2533.1143251664439</v>
      </c>
      <c r="I117">
        <f t="shared" si="36"/>
        <v>2627.3968403491394</v>
      </c>
      <c r="J117">
        <f t="shared" si="36"/>
        <v>2725.1885507469347</v>
      </c>
      <c r="K117">
        <f t="shared" si="36"/>
        <v>2826.6200686057359</v>
      </c>
      <c r="L117">
        <f t="shared" si="36"/>
        <v>2828.7117674565038</v>
      </c>
      <c r="M117">
        <f t="shared" si="36"/>
        <v>2830.8050141644217</v>
      </c>
      <c r="N117">
        <f t="shared" si="36"/>
        <v>2832.899809874903</v>
      </c>
      <c r="O117">
        <f t="shared" si="36"/>
        <v>2834.9961557342103</v>
      </c>
      <c r="P117">
        <f t="shared" si="36"/>
        <v>2837.0940528894535</v>
      </c>
      <c r="Q117">
        <f t="shared" si="36"/>
        <v>2839.1935024885915</v>
      </c>
      <c r="R117">
        <f t="shared" si="36"/>
        <v>2841.2945056804333</v>
      </c>
      <c r="S117">
        <f t="shared" si="36"/>
        <v>2843.3970636146364</v>
      </c>
      <c r="T117">
        <f t="shared" si="36"/>
        <v>2845.5011774417108</v>
      </c>
      <c r="U117">
        <f t="shared" si="36"/>
        <v>2847.6068483130175</v>
      </c>
      <c r="V117">
        <f t="shared" si="36"/>
        <v>2849.7140773807696</v>
      </c>
      <c r="W117">
        <f t="shared" si="36"/>
        <v>2851.8228657980312</v>
      </c>
      <c r="X117">
        <f t="shared" si="36"/>
        <v>2853.9332147187215</v>
      </c>
      <c r="Y117">
        <f t="shared" si="36"/>
        <v>2856.0451252976136</v>
      </c>
      <c r="Z117">
        <f t="shared" si="36"/>
        <v>2858.1585986903333</v>
      </c>
    </row>
    <row r="118" spans="1:26">
      <c r="A118" s="248">
        <v>0.25</v>
      </c>
      <c r="B118" s="54" t="s">
        <v>434</v>
      </c>
      <c r="G118">
        <f>G117*$A118*0.75</f>
        <v>457.9153274799063</v>
      </c>
      <c r="H118">
        <f t="shared" ref="H118:Z118" si="37">H117*$A118</f>
        <v>633.27858129161098</v>
      </c>
      <c r="I118">
        <f t="shared" si="37"/>
        <v>656.84921008728486</v>
      </c>
      <c r="J118">
        <f t="shared" si="37"/>
        <v>681.29713768673366</v>
      </c>
      <c r="K118">
        <f t="shared" si="37"/>
        <v>706.65501715143398</v>
      </c>
      <c r="L118">
        <f t="shared" si="37"/>
        <v>707.17794186412596</v>
      </c>
      <c r="M118">
        <f t="shared" si="37"/>
        <v>707.70125354110542</v>
      </c>
      <c r="N118">
        <f t="shared" si="37"/>
        <v>708.22495246872575</v>
      </c>
      <c r="O118">
        <f t="shared" si="37"/>
        <v>708.74903893355258</v>
      </c>
      <c r="P118">
        <f t="shared" si="37"/>
        <v>709.27351322236336</v>
      </c>
      <c r="Q118">
        <f t="shared" si="37"/>
        <v>709.79837562214789</v>
      </c>
      <c r="R118">
        <f t="shared" si="37"/>
        <v>710.32362642010833</v>
      </c>
      <c r="S118">
        <f t="shared" si="37"/>
        <v>710.8492659036591</v>
      </c>
      <c r="T118">
        <f t="shared" si="37"/>
        <v>711.37529436042769</v>
      </c>
      <c r="U118">
        <f t="shared" si="37"/>
        <v>711.90171207825438</v>
      </c>
      <c r="V118">
        <f t="shared" si="37"/>
        <v>712.4285193451924</v>
      </c>
      <c r="W118">
        <f t="shared" si="37"/>
        <v>712.9557164495078</v>
      </c>
      <c r="X118">
        <f t="shared" si="37"/>
        <v>713.48330367968038</v>
      </c>
      <c r="Y118">
        <f t="shared" si="37"/>
        <v>714.0112813244034</v>
      </c>
      <c r="Z118">
        <f t="shared" si="37"/>
        <v>714.53964967258332</v>
      </c>
    </row>
    <row r="119" spans="1:26">
      <c r="A119" s="248">
        <v>0.15</v>
      </c>
      <c r="B119" s="78" t="s">
        <v>435</v>
      </c>
      <c r="G119">
        <f>G117*$A119*0.75</f>
        <v>274.74919648794378</v>
      </c>
      <c r="H119">
        <f t="shared" ref="H119:Z119" si="38">H117*$A119</f>
        <v>379.96714877496657</v>
      </c>
      <c r="I119">
        <f t="shared" si="38"/>
        <v>394.10952605237088</v>
      </c>
      <c r="J119">
        <f t="shared" si="38"/>
        <v>408.77828261204019</v>
      </c>
      <c r="K119">
        <f t="shared" si="38"/>
        <v>423.99301029086035</v>
      </c>
      <c r="L119">
        <f t="shared" si="38"/>
        <v>424.30676511847554</v>
      </c>
      <c r="M119">
        <f t="shared" si="38"/>
        <v>424.62075212466323</v>
      </c>
      <c r="N119">
        <f t="shared" si="38"/>
        <v>424.93497148123544</v>
      </c>
      <c r="O119">
        <f t="shared" si="38"/>
        <v>425.24942336013152</v>
      </c>
      <c r="P119">
        <f t="shared" si="38"/>
        <v>425.56410793341803</v>
      </c>
      <c r="Q119">
        <f t="shared" si="38"/>
        <v>425.8790253732887</v>
      </c>
      <c r="R119">
        <f t="shared" si="38"/>
        <v>426.19417585206497</v>
      </c>
      <c r="S119">
        <f t="shared" si="38"/>
        <v>426.50955954219546</v>
      </c>
      <c r="T119">
        <f t="shared" si="38"/>
        <v>426.82517661625661</v>
      </c>
      <c r="U119">
        <f t="shared" si="38"/>
        <v>427.1410272469526</v>
      </c>
      <c r="V119">
        <f t="shared" si="38"/>
        <v>427.45711160711545</v>
      </c>
      <c r="W119">
        <f t="shared" si="38"/>
        <v>427.77342986970467</v>
      </c>
      <c r="X119">
        <f t="shared" si="38"/>
        <v>428.08998220780819</v>
      </c>
      <c r="Y119">
        <f t="shared" si="38"/>
        <v>428.40676879464201</v>
      </c>
      <c r="Z119">
        <f t="shared" si="38"/>
        <v>428.72378980355001</v>
      </c>
    </row>
    <row r="121" spans="1:26">
      <c r="A121" s="5" t="s">
        <v>459</v>
      </c>
    </row>
    <row r="122" spans="1:26">
      <c r="A122" s="70" t="s">
        <v>370</v>
      </c>
    </row>
    <row r="123" spans="1:26">
      <c r="A123" s="70" t="s">
        <v>371</v>
      </c>
    </row>
    <row r="124" spans="1:26">
      <c r="A124" s="70"/>
      <c r="B124" s="53"/>
    </row>
    <row r="125" spans="1:26">
      <c r="A125" s="70"/>
      <c r="B125" s="53"/>
    </row>
    <row r="126" spans="1:26">
      <c r="A126" s="3" t="s">
        <v>396</v>
      </c>
      <c r="B126" s="3"/>
    </row>
    <row r="127" spans="1:26">
      <c r="A127" s="3" t="s">
        <v>397</v>
      </c>
      <c r="C127" s="219" t="s">
        <v>393</v>
      </c>
      <c r="D127" s="218"/>
      <c r="E127" s="218" t="s">
        <v>394</v>
      </c>
      <c r="F127" s="218" t="s">
        <v>392</v>
      </c>
      <c r="G127" s="218" t="s">
        <v>391</v>
      </c>
      <c r="H127" s="218" t="s">
        <v>390</v>
      </c>
      <c r="I127" s="218" t="s">
        <v>389</v>
      </c>
    </row>
    <row r="128" spans="1:26">
      <c r="B128" s="218" t="s">
        <v>384</v>
      </c>
      <c r="C128" s="219" t="s">
        <v>383</v>
      </c>
      <c r="D128" s="218"/>
      <c r="E128" s="218">
        <v>612</v>
      </c>
      <c r="F128" s="218">
        <v>136</v>
      </c>
      <c r="G128" s="218">
        <v>71</v>
      </c>
      <c r="H128" s="220">
        <v>207</v>
      </c>
      <c r="I128" s="218"/>
    </row>
    <row r="129" spans="1:10">
      <c r="B129" s="218" t="s">
        <v>386</v>
      </c>
      <c r="C129" s="219" t="s">
        <v>385</v>
      </c>
      <c r="D129" s="218"/>
      <c r="E129" s="218">
        <v>361</v>
      </c>
      <c r="F129" s="218">
        <v>80.2</v>
      </c>
      <c r="G129" s="218">
        <v>70</v>
      </c>
      <c r="H129" s="218">
        <v>150.19999999999999</v>
      </c>
      <c r="I129" s="221">
        <v>0.9</v>
      </c>
      <c r="J129" t="s">
        <v>382</v>
      </c>
    </row>
    <row r="130" spans="1:10">
      <c r="B130" s="218" t="s">
        <v>388</v>
      </c>
      <c r="C130" s="219" t="s">
        <v>387</v>
      </c>
      <c r="D130" s="218"/>
      <c r="E130" s="218">
        <v>397</v>
      </c>
      <c r="F130" s="218">
        <v>88.2</v>
      </c>
      <c r="G130" s="218">
        <v>0</v>
      </c>
      <c r="H130" s="218">
        <v>88.2</v>
      </c>
      <c r="I130" s="221">
        <v>1</v>
      </c>
      <c r="J130" s="26" t="s">
        <v>395</v>
      </c>
    </row>
    <row r="132" spans="1:10">
      <c r="B132" t="s">
        <v>375</v>
      </c>
    </row>
    <row r="133" spans="1:10">
      <c r="B133" s="217" t="s">
        <v>376</v>
      </c>
    </row>
    <row r="134" spans="1:10">
      <c r="B134" s="217" t="s">
        <v>377</v>
      </c>
    </row>
    <row r="136" spans="1:10">
      <c r="B136" t="s">
        <v>378</v>
      </c>
    </row>
    <row r="137" spans="1:10">
      <c r="B137" s="217" t="s">
        <v>379</v>
      </c>
    </row>
    <row r="138" spans="1:10">
      <c r="B138" t="s">
        <v>380</v>
      </c>
    </row>
    <row r="139" spans="1:10">
      <c r="B139" s="217" t="s">
        <v>381</v>
      </c>
    </row>
    <row r="143" spans="1:10">
      <c r="A143" s="80"/>
      <c r="B143" s="79"/>
      <c r="C143" s="79"/>
      <c r="D143" s="79"/>
    </row>
    <row r="144" spans="1:10">
      <c r="A144" s="41"/>
      <c r="B144" s="25"/>
      <c r="C144" s="101"/>
      <c r="D144" s="101"/>
    </row>
    <row r="145" spans="1:4">
      <c r="A145" s="25"/>
      <c r="B145" s="25"/>
      <c r="C145" s="25"/>
      <c r="D145" s="25"/>
    </row>
    <row r="146" spans="1:4">
      <c r="A146" s="25"/>
      <c r="B146" s="25"/>
      <c r="C146" s="25"/>
      <c r="D146" s="25"/>
    </row>
    <row r="147" spans="1:4">
      <c r="A147" s="25"/>
      <c r="B147" s="253"/>
      <c r="C147" s="101"/>
      <c r="D147" s="101"/>
    </row>
    <row r="148" spans="1:4">
      <c r="A148" s="25"/>
      <c r="B148" s="253"/>
      <c r="C148" s="253"/>
      <c r="D148" s="101"/>
    </row>
    <row r="149" spans="1:4">
      <c r="A149" s="25"/>
      <c r="B149" s="25"/>
      <c r="C149" s="25"/>
      <c r="D149" s="277"/>
    </row>
    <row r="150" spans="1:4">
      <c r="A150" s="25"/>
      <c r="B150" s="253"/>
      <c r="C150" s="25"/>
      <c r="D150" s="101"/>
    </row>
    <row r="151" spans="1:4">
      <c r="A151" s="25"/>
      <c r="B151" s="25"/>
      <c r="C151" s="25"/>
      <c r="D151" s="25"/>
    </row>
    <row r="152" spans="1:4">
      <c r="A152" s="25"/>
      <c r="B152" s="25"/>
      <c r="C152" s="25"/>
      <c r="D152" s="101"/>
    </row>
    <row r="153" spans="1:4">
      <c r="A153" s="25"/>
      <c r="B153" s="25"/>
      <c r="C153" s="25"/>
      <c r="D153" s="101"/>
    </row>
    <row r="154" spans="1:4">
      <c r="A154" s="25"/>
      <c r="B154" s="25"/>
      <c r="C154" s="25"/>
      <c r="D154" s="101"/>
    </row>
    <row r="155" spans="1:4">
      <c r="A155" s="25"/>
      <c r="B155" s="25"/>
      <c r="C155" s="25"/>
      <c r="D155" s="254"/>
    </row>
    <row r="156" spans="1:4">
      <c r="A156" s="25"/>
      <c r="B156" s="25"/>
      <c r="C156" s="25"/>
      <c r="D156" s="25"/>
    </row>
    <row r="157" spans="1:4">
      <c r="A157" s="25"/>
      <c r="B157" s="25"/>
      <c r="C157" s="25"/>
      <c r="D157" s="25"/>
    </row>
    <row r="158" spans="1:4">
      <c r="A158" s="25"/>
      <c r="B158" s="25"/>
      <c r="C158" s="25"/>
      <c r="D158" s="345"/>
    </row>
    <row r="159" spans="1:4">
      <c r="A159" s="25"/>
      <c r="B159" s="25"/>
      <c r="C159" s="25"/>
      <c r="D159" s="25"/>
    </row>
    <row r="160" spans="1:4">
      <c r="A160" s="25"/>
      <c r="B160" s="25"/>
      <c r="C160" s="25"/>
      <c r="D160" s="255"/>
    </row>
    <row r="161" spans="1:4">
      <c r="A161" s="25"/>
      <c r="B161" s="25"/>
      <c r="C161" s="25"/>
      <c r="D161" s="255"/>
    </row>
    <row r="162" spans="1:4">
      <c r="A162" s="25"/>
      <c r="B162" s="25"/>
      <c r="C162" s="25"/>
      <c r="D162" s="255"/>
    </row>
    <row r="163" spans="1:4">
      <c r="A163" s="25"/>
      <c r="B163" s="25"/>
      <c r="C163" s="25"/>
      <c r="D163" s="255"/>
    </row>
    <row r="164" spans="1:4">
      <c r="A164" s="25"/>
      <c r="B164" s="25"/>
      <c r="C164" s="25"/>
      <c r="D164" s="255"/>
    </row>
    <row r="165" spans="1:4">
      <c r="A165" s="25"/>
      <c r="B165" s="25"/>
      <c r="C165" s="25"/>
      <c r="D165" s="255"/>
    </row>
    <row r="166" spans="1:4">
      <c r="A166" s="25"/>
      <c r="B166" s="25"/>
      <c r="C166" s="25"/>
      <c r="D166" s="255"/>
    </row>
    <row r="167" spans="1:4">
      <c r="A167" s="25"/>
      <c r="B167" s="25"/>
      <c r="C167" s="25"/>
      <c r="D167" s="25"/>
    </row>
    <row r="168" spans="1:4">
      <c r="A168" s="25"/>
      <c r="B168" s="25"/>
      <c r="C168" s="25"/>
      <c r="D168" s="25"/>
    </row>
    <row r="169" spans="1:4">
      <c r="A169" s="25"/>
      <c r="B169" s="25"/>
      <c r="C169" s="25"/>
      <c r="D169" s="25"/>
    </row>
    <row r="170" spans="1:4">
      <c r="A170" s="256"/>
      <c r="B170" s="256"/>
      <c r="C170" s="256"/>
      <c r="D170" s="346"/>
    </row>
    <row r="171" spans="1:4">
      <c r="A171" s="256"/>
      <c r="B171" s="256"/>
      <c r="C171" s="256"/>
      <c r="D171" s="257"/>
    </row>
    <row r="172" spans="1:4">
      <c r="A172" s="25"/>
      <c r="B172" s="25"/>
      <c r="C172" s="25"/>
      <c r="D172" s="25"/>
    </row>
    <row r="173" spans="1:4">
      <c r="A173" s="256"/>
      <c r="B173" s="256"/>
      <c r="C173" s="256"/>
      <c r="D173" s="99"/>
    </row>
    <row r="174" spans="1:4">
      <c r="A174" s="256"/>
      <c r="B174" s="256"/>
      <c r="C174" s="256"/>
      <c r="D174" s="99"/>
    </row>
    <row r="175" spans="1:4">
      <c r="A175" s="256"/>
      <c r="B175" s="256"/>
      <c r="C175" s="256"/>
      <c r="D175" s="99"/>
    </row>
    <row r="176" spans="1:4">
      <c r="A176" s="256"/>
      <c r="B176" s="256"/>
      <c r="C176" s="256"/>
      <c r="D176" s="99"/>
    </row>
    <row r="177" spans="1:4">
      <c r="A177" s="256"/>
      <c r="B177" s="256"/>
      <c r="C177" s="256"/>
      <c r="D177" s="99"/>
    </row>
    <row r="178" spans="1:4">
      <c r="A178" s="256"/>
      <c r="B178" s="256"/>
      <c r="C178" s="256"/>
      <c r="D178" s="99"/>
    </row>
    <row r="179" spans="1:4">
      <c r="A179" s="256"/>
      <c r="B179" s="256"/>
      <c r="C179" s="256"/>
      <c r="D179" s="251"/>
    </row>
    <row r="180" spans="1:4">
      <c r="A180" s="256"/>
      <c r="B180" s="256"/>
      <c r="C180" s="256"/>
      <c r="D180" s="99"/>
    </row>
    <row r="181" spans="1:4">
      <c r="A181" s="256"/>
      <c r="B181" s="256"/>
      <c r="C181" s="256"/>
      <c r="D181" s="99"/>
    </row>
    <row r="182" spans="1:4">
      <c r="A182" s="256"/>
      <c r="B182" s="256"/>
      <c r="C182" s="256"/>
      <c r="D182" s="99"/>
    </row>
    <row r="183" spans="1:4">
      <c r="A183" s="256"/>
      <c r="B183" s="256"/>
      <c r="C183" s="256"/>
      <c r="D183" s="99"/>
    </row>
    <row r="184" spans="1:4">
      <c r="A184" s="256"/>
      <c r="B184" s="256"/>
      <c r="C184" s="256"/>
      <c r="D184" s="65"/>
    </row>
    <row r="185" spans="1:4">
      <c r="A185" s="256"/>
      <c r="B185" s="256"/>
      <c r="C185" s="256"/>
      <c r="D185" s="256"/>
    </row>
  </sheetData>
  <mergeCells count="14">
    <mergeCell ref="X60:Z60"/>
    <mergeCell ref="B60:B61"/>
    <mergeCell ref="D60:F60"/>
    <mergeCell ref="H60:J60"/>
    <mergeCell ref="L60:N60"/>
    <mergeCell ref="P60:R60"/>
    <mergeCell ref="T60:V60"/>
    <mergeCell ref="W55:Z55"/>
    <mergeCell ref="B55:B56"/>
    <mergeCell ref="C55:F55"/>
    <mergeCell ref="G55:J55"/>
    <mergeCell ref="K55:N55"/>
    <mergeCell ref="O55:R55"/>
    <mergeCell ref="S55:V55"/>
  </mergeCells>
  <conditionalFormatting sqref="P71:R71 L71:N71 X71:Z71 D71:F71 T71:V71 T62:V67 D62:F67 X62:Z67 L62:N67 P62:R67 H62:J67 H71:J71">
    <cfRule type="cellIs" dxfId="1" priority="6" stopIfTrue="1" operator="lessThanOrEqual">
      <formula>-0.005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X259"/>
  <sheetViews>
    <sheetView topLeftCell="A143" zoomScale="75" zoomScaleNormal="75" workbookViewId="0">
      <selection activeCell="H45" sqref="H45:I45"/>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c r="K5" s="312"/>
      <c r="L5" s="312"/>
      <c r="M5" s="312"/>
      <c r="N5" s="312"/>
      <c r="O5" s="312"/>
      <c r="P5" s="312"/>
      <c r="Q5" s="312"/>
      <c r="R5" s="312"/>
      <c r="S5" s="312"/>
      <c r="T5" s="312"/>
      <c r="U5" s="312"/>
      <c r="V5" s="312"/>
      <c r="W5" s="312"/>
      <c r="X5" s="312"/>
      <c r="Y5" s="312"/>
      <c r="Z5" s="312"/>
      <c r="AA5" s="312"/>
      <c r="AB5" s="312"/>
      <c r="AC5" s="407"/>
      <c r="AD5" s="359"/>
    </row>
    <row r="6" spans="1:33">
      <c r="A6" s="44"/>
      <c r="B6" s="44"/>
      <c r="C6" s="55" t="s">
        <v>404</v>
      </c>
      <c r="D6" s="226"/>
      <c r="E6" s="234"/>
      <c r="F6" s="312"/>
      <c r="G6" s="312">
        <v>-100000</v>
      </c>
      <c r="H6" s="312">
        <v>-742095</v>
      </c>
      <c r="I6" s="312">
        <v>-51750</v>
      </c>
      <c r="K6" s="312"/>
      <c r="L6" s="312"/>
      <c r="M6" s="312"/>
      <c r="N6" s="312"/>
      <c r="O6" s="312"/>
      <c r="P6" s="312"/>
      <c r="Q6" s="312"/>
      <c r="R6" s="312"/>
      <c r="S6" s="312"/>
      <c r="T6" s="312"/>
      <c r="U6" s="312"/>
      <c r="V6" s="312"/>
      <c r="W6" s="312"/>
      <c r="X6" s="312"/>
      <c r="Y6" s="312"/>
      <c r="Z6" s="312"/>
      <c r="AA6" s="312"/>
      <c r="AB6" s="312"/>
      <c r="AC6" s="407"/>
      <c r="AD6" s="359"/>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ref="AD7:AD55" si="0">SUM(F7:AC7)</f>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404"/>
      <c r="AC9" s="283"/>
      <c r="AD9" s="361">
        <f t="shared" si="0"/>
        <v>0</v>
      </c>
    </row>
    <row r="10" spans="1:33" s="53" customFormat="1" ht="12">
      <c r="A10" s="58"/>
      <c r="B10" s="70" t="s">
        <v>463</v>
      </c>
      <c r="C10" s="70" t="s">
        <v>366</v>
      </c>
      <c r="D10" s="228"/>
      <c r="E10" s="235"/>
      <c r="F10" s="59">
        <f>'NC Users'!C5</f>
        <v>0</v>
      </c>
      <c r="G10" s="59">
        <f>'NC Users'!D5</f>
        <v>0</v>
      </c>
      <c r="H10" s="59">
        <f>'NC Users'!E5</f>
        <v>227539.91911329882</v>
      </c>
      <c r="I10" s="59">
        <f>'NC Users'!F5</f>
        <v>229646.86649007368</v>
      </c>
      <c r="J10" s="59">
        <f>'NC Users'!G5</f>
        <v>231753.81386684853</v>
      </c>
      <c r="K10" s="59">
        <f>'NC Users'!H5</f>
        <v>233860.76124362342</v>
      </c>
      <c r="L10" s="59">
        <f>'NC Users'!I5</f>
        <v>235967.70862039836</v>
      </c>
      <c r="M10" s="59">
        <f>'NC Users'!J5</f>
        <v>238074.65599717325</v>
      </c>
      <c r="N10" s="59">
        <f>'NC Users'!K5</f>
        <v>240181.60337394811</v>
      </c>
      <c r="O10" s="59">
        <f>'NC Users'!L5</f>
        <v>239561.92131580421</v>
      </c>
      <c r="P10" s="59">
        <f>'NC Users'!M5</f>
        <v>238942.23925766026</v>
      </c>
      <c r="Q10" s="59">
        <f>'NC Users'!N5</f>
        <v>238322.55719951633</v>
      </c>
      <c r="R10" s="59">
        <f>'NC Users'!O5</f>
        <v>237702.87514137244</v>
      </c>
      <c r="S10" s="59">
        <f>'NC Users'!P5</f>
        <v>237083.19308322843</v>
      </c>
      <c r="T10" s="59">
        <f>'NC Users'!Q5</f>
        <v>236463.51102508456</v>
      </c>
      <c r="U10" s="59">
        <f>'NC Users'!R5</f>
        <v>235843.82896694064</v>
      </c>
      <c r="V10" s="59">
        <f>'NC Users'!S5</f>
        <v>235224.14690879665</v>
      </c>
      <c r="W10" s="59">
        <f>'NC Users'!T5</f>
        <v>234604.46485065273</v>
      </c>
      <c r="X10" s="59">
        <f>'NC Users'!U5</f>
        <v>233984.78279250875</v>
      </c>
      <c r="Y10" s="59">
        <f>'NC Users'!V5</f>
        <v>233365.10073436485</v>
      </c>
      <c r="Z10" s="59">
        <f>'NC Users'!W5</f>
        <v>232745.41867622093</v>
      </c>
      <c r="AA10" s="59">
        <f>'NC Users'!X5</f>
        <v>232125.736618077</v>
      </c>
      <c r="AB10" s="59">
        <f>'NC Users'!Y5</f>
        <v>231506.05455993311</v>
      </c>
      <c r="AC10" s="284">
        <f>'NC Users'!Z5</f>
        <v>230886.37250178913</v>
      </c>
      <c r="AD10" s="362">
        <f t="shared" si="0"/>
        <v>5165387.5323373154</v>
      </c>
    </row>
    <row r="11" spans="1:33" s="53" customFormat="1" ht="12">
      <c r="A11" s="58"/>
      <c r="B11" s="70" t="s">
        <v>462</v>
      </c>
      <c r="C11" s="54" t="s">
        <v>431</v>
      </c>
      <c r="D11" s="228"/>
      <c r="E11" s="235"/>
      <c r="F11" s="59">
        <f>'NC Users'!C6</f>
        <v>0</v>
      </c>
      <c r="G11" s="59">
        <f>'NC Users'!D6</f>
        <v>0</v>
      </c>
      <c r="H11" s="59">
        <f>'NC Users'!E6</f>
        <v>6826.1975733989648</v>
      </c>
      <c r="I11" s="59">
        <f>'NC Users'!F6</f>
        <v>6889.4059947022097</v>
      </c>
      <c r="J11" s="59">
        <f>'NC Users'!G6</f>
        <v>6952.6144160054555</v>
      </c>
      <c r="K11" s="59">
        <f>'NC Users'!H6</f>
        <v>7015.8228373087022</v>
      </c>
      <c r="L11" s="59">
        <f>'NC Users'!I6</f>
        <v>7079.0312586119508</v>
      </c>
      <c r="M11" s="59">
        <f>'NC Users'!J6</f>
        <v>7142.2396799151975</v>
      </c>
      <c r="N11" s="59">
        <f>'NC Users'!K6</f>
        <v>7205.4481012184433</v>
      </c>
      <c r="O11" s="59">
        <f>'NC Users'!L6</f>
        <v>7186.8576394741258</v>
      </c>
      <c r="P11" s="59">
        <f>'NC Users'!M6</f>
        <v>7168.2671777298074</v>
      </c>
      <c r="Q11" s="59">
        <f>'NC Users'!N6</f>
        <v>7149.6767159854899</v>
      </c>
      <c r="R11" s="59">
        <f>'NC Users'!O6</f>
        <v>7131.0862542411733</v>
      </c>
      <c r="S11" s="59">
        <f>'NC Users'!P6</f>
        <v>7112.4957924968521</v>
      </c>
      <c r="T11" s="59">
        <f>'NC Users'!Q6</f>
        <v>7093.9053307525364</v>
      </c>
      <c r="U11" s="59">
        <f>'NC Users'!R6</f>
        <v>7075.3148690082189</v>
      </c>
      <c r="V11" s="59">
        <f>'NC Users'!S6</f>
        <v>7056.7244072638996</v>
      </c>
      <c r="W11" s="59">
        <f>'NC Users'!T6</f>
        <v>7038.1339455195821</v>
      </c>
      <c r="X11" s="59">
        <f>'NC Users'!U6</f>
        <v>7019.5434837752618</v>
      </c>
      <c r="Y11" s="59">
        <f>'NC Users'!V6</f>
        <v>7000.9530220309452</v>
      </c>
      <c r="Z11" s="59">
        <f>'NC Users'!W6</f>
        <v>6982.3625602866277</v>
      </c>
      <c r="AA11" s="59">
        <f>'NC Users'!X6</f>
        <v>6963.7720985423102</v>
      </c>
      <c r="AB11" s="59">
        <f>'NC Users'!Y6</f>
        <v>6945.1816367979927</v>
      </c>
      <c r="AC11" s="284">
        <f>'NC Users'!Z6</f>
        <v>6926.5911750536734</v>
      </c>
      <c r="AD11" s="362">
        <f t="shared" si="0"/>
        <v>154961.62597011941</v>
      </c>
    </row>
    <row r="12" spans="1:33" s="53" customFormat="1" ht="12">
      <c r="A12" s="58"/>
      <c r="B12" s="70"/>
      <c r="C12" s="78" t="s">
        <v>418</v>
      </c>
      <c r="D12" s="228"/>
      <c r="E12" s="235"/>
      <c r="F12" s="59">
        <f>'NC Users'!C7</f>
        <v>0</v>
      </c>
      <c r="G12" s="59">
        <f>'NC Users'!D7</f>
        <v>0</v>
      </c>
      <c r="H12" s="59">
        <f>'NC Users'!E7</f>
        <v>4550.7983822659762</v>
      </c>
      <c r="I12" s="59">
        <f>'NC Users'!F7</f>
        <v>4592.9373298014734</v>
      </c>
      <c r="J12" s="59">
        <f>'NC Users'!G7</f>
        <v>4635.0762773369706</v>
      </c>
      <c r="K12" s="59">
        <f>'NC Users'!H7</f>
        <v>4677.2152248724688</v>
      </c>
      <c r="L12" s="59">
        <f>'NC Users'!I7</f>
        <v>4719.3541724079678</v>
      </c>
      <c r="M12" s="59">
        <f>'NC Users'!J7</f>
        <v>4761.493119943465</v>
      </c>
      <c r="N12" s="59">
        <f>'NC Users'!K7</f>
        <v>4803.6320674789622</v>
      </c>
      <c r="O12" s="59">
        <f>'NC Users'!L7</f>
        <v>4791.2384263160848</v>
      </c>
      <c r="P12" s="59">
        <f>'NC Users'!M7</f>
        <v>4778.8447851532055</v>
      </c>
      <c r="Q12" s="59">
        <f>'NC Users'!N7</f>
        <v>4766.4511439903272</v>
      </c>
      <c r="R12" s="59">
        <f>'NC Users'!O7</f>
        <v>4754.0575028274488</v>
      </c>
      <c r="S12" s="59">
        <f>'NC Users'!P7</f>
        <v>4741.6638616645687</v>
      </c>
      <c r="T12" s="59">
        <f>'NC Users'!Q7</f>
        <v>4729.2702205016913</v>
      </c>
      <c r="U12" s="59">
        <f>'NC Users'!R7</f>
        <v>4716.8765793388129</v>
      </c>
      <c r="V12" s="59">
        <f>'NC Users'!S7</f>
        <v>4704.4829381759328</v>
      </c>
      <c r="W12" s="59">
        <f>'NC Users'!T7</f>
        <v>4692.0892970130544</v>
      </c>
      <c r="X12" s="59">
        <f>'NC Users'!U7</f>
        <v>4679.6956558501752</v>
      </c>
      <c r="Y12" s="59">
        <f>'NC Users'!V7</f>
        <v>4667.3020146872968</v>
      </c>
      <c r="Z12" s="59">
        <f>'NC Users'!W7</f>
        <v>4654.9083735244185</v>
      </c>
      <c r="AA12" s="59">
        <f>'NC Users'!X7</f>
        <v>4642.5147323615402</v>
      </c>
      <c r="AB12" s="59">
        <f>'NC Users'!Y7</f>
        <v>4630.1210911986627</v>
      </c>
      <c r="AC12" s="284">
        <f>'NC Users'!Z7</f>
        <v>4617.7274500357826</v>
      </c>
      <c r="AD12" s="362">
        <f t="shared" si="0"/>
        <v>103307.75064674628</v>
      </c>
    </row>
    <row r="13" spans="1:33" s="53" customFormat="1" ht="12">
      <c r="A13" s="58"/>
      <c r="B13" s="70"/>
      <c r="D13" s="228"/>
      <c r="E13" s="235"/>
      <c r="AC13" s="283"/>
      <c r="AD13" s="362">
        <f t="shared" si="0"/>
        <v>0</v>
      </c>
    </row>
    <row r="14" spans="1:33" s="53" customFormat="1" ht="12">
      <c r="A14" s="58"/>
      <c r="B14" s="5" t="s">
        <v>277</v>
      </c>
      <c r="D14" s="228"/>
      <c r="E14" s="235"/>
      <c r="AC14" s="283"/>
      <c r="AD14" s="362">
        <f t="shared" si="0"/>
        <v>0</v>
      </c>
    </row>
    <row r="15" spans="1:33" s="53" customFormat="1" ht="12">
      <c r="A15" s="58"/>
      <c r="B15" s="70" t="s">
        <v>463</v>
      </c>
      <c r="C15" s="70" t="s">
        <v>366</v>
      </c>
      <c r="D15" s="228"/>
      <c r="E15" s="235"/>
      <c r="F15" s="59">
        <f>'NC Users'!C11</f>
        <v>0</v>
      </c>
      <c r="G15" s="59">
        <f>'NC Users'!D11</f>
        <v>0</v>
      </c>
      <c r="H15" s="59">
        <f>'NC Users'!E11</f>
        <v>4309.5282044772202</v>
      </c>
      <c r="I15" s="59">
        <f>'NC Users'!F11</f>
        <v>4349.4330668017938</v>
      </c>
      <c r="J15" s="59">
        <f>'NC Users'!G11</f>
        <v>4389.3379291263664</v>
      </c>
      <c r="K15" s="59">
        <f>'NC Users'!H11</f>
        <v>4429.2427914509399</v>
      </c>
      <c r="L15" s="59">
        <f>'NC Users'!I11</f>
        <v>4469.1476537755125</v>
      </c>
      <c r="M15" s="59">
        <f>'NC Users'!J11</f>
        <v>4509.0525161000851</v>
      </c>
      <c r="N15" s="59">
        <f>'NC Users'!K11</f>
        <v>4548.9573784246586</v>
      </c>
      <c r="O15" s="59">
        <f>'NC Users'!L11</f>
        <v>4537.2208122968932</v>
      </c>
      <c r="P15" s="59">
        <f>'NC Users'!M11</f>
        <v>4525.4842461691269</v>
      </c>
      <c r="Q15" s="59">
        <f>'NC Users'!N11</f>
        <v>4513.7476800413606</v>
      </c>
      <c r="R15" s="59">
        <f>'NC Users'!O11</f>
        <v>4502.0111139135952</v>
      </c>
      <c r="S15" s="59">
        <f>'NC Users'!P11</f>
        <v>4490.2745477858289</v>
      </c>
      <c r="T15" s="59">
        <f>'NC Users'!Q11</f>
        <v>4478.5379816580635</v>
      </c>
      <c r="U15" s="59">
        <f>'NC Users'!R11</f>
        <v>4466.8014155302972</v>
      </c>
      <c r="V15" s="59">
        <f>'NC Users'!S11</f>
        <v>4455.0648494025299</v>
      </c>
      <c r="W15" s="59">
        <f>'NC Users'!T11</f>
        <v>4443.3282832747636</v>
      </c>
      <c r="X15" s="59">
        <f>'NC Users'!U11</f>
        <v>4431.5917171469973</v>
      </c>
      <c r="Y15" s="59">
        <f>'NC Users'!V11</f>
        <v>4419.8551510192319</v>
      </c>
      <c r="Z15" s="59">
        <f>'NC Users'!W11</f>
        <v>4408.1185848914656</v>
      </c>
      <c r="AA15" s="59">
        <f>'NC Users'!X11</f>
        <v>4396.3820187637002</v>
      </c>
      <c r="AB15" s="59">
        <f>'NC Users'!Y11</f>
        <v>4384.6454526359348</v>
      </c>
      <c r="AC15" s="284">
        <f>'NC Users'!Z11</f>
        <v>4372.9088865081685</v>
      </c>
      <c r="AD15" s="362">
        <f t="shared" si="0"/>
        <v>97830.672281194522</v>
      </c>
      <c r="AG15" s="390"/>
    </row>
    <row r="16" spans="1:33" s="53" customFormat="1" ht="12">
      <c r="A16" s="58"/>
      <c r="B16" s="70" t="s">
        <v>462</v>
      </c>
      <c r="C16" s="54" t="s">
        <v>433</v>
      </c>
      <c r="D16" s="228"/>
      <c r="E16" s="235"/>
      <c r="F16" s="59">
        <f>'NC Users'!C12</f>
        <v>0</v>
      </c>
      <c r="G16" s="59">
        <f>'NC Users'!D12</f>
        <v>0</v>
      </c>
      <c r="H16" s="59">
        <f>'NC Users'!E12</f>
        <v>129.28584613431661</v>
      </c>
      <c r="I16" s="59">
        <f>'NC Users'!F12</f>
        <v>130.48299200405381</v>
      </c>
      <c r="J16" s="59">
        <f>'NC Users'!G12</f>
        <v>131.68013787379098</v>
      </c>
      <c r="K16" s="59">
        <f>'NC Users'!H12</f>
        <v>132.87728374352818</v>
      </c>
      <c r="L16" s="59">
        <f>'NC Users'!I12</f>
        <v>134.07442961326538</v>
      </c>
      <c r="M16" s="59">
        <f>'NC Users'!J12</f>
        <v>135.27157548300255</v>
      </c>
      <c r="N16" s="59">
        <f>'NC Users'!K12</f>
        <v>136.46872135273975</v>
      </c>
      <c r="O16" s="59">
        <f>'NC Users'!L12</f>
        <v>136.1166243689068</v>
      </c>
      <c r="P16" s="59">
        <f>'NC Users'!M12</f>
        <v>135.76452738507379</v>
      </c>
      <c r="Q16" s="59">
        <f>'NC Users'!N12</f>
        <v>135.41243040124081</v>
      </c>
      <c r="R16" s="59">
        <f>'NC Users'!O12</f>
        <v>135.06033341740786</v>
      </c>
      <c r="S16" s="59">
        <f>'NC Users'!P12</f>
        <v>134.70823643357485</v>
      </c>
      <c r="T16" s="59">
        <f>'NC Users'!Q12</f>
        <v>134.3561394497419</v>
      </c>
      <c r="U16" s="59">
        <f>'NC Users'!R12</f>
        <v>134.00404246590892</v>
      </c>
      <c r="V16" s="59">
        <f>'NC Users'!S12</f>
        <v>133.65194548207589</v>
      </c>
      <c r="W16" s="59">
        <f>'NC Users'!T12</f>
        <v>133.29984849824291</v>
      </c>
      <c r="X16" s="59">
        <f>'NC Users'!U12</f>
        <v>132.9477515144099</v>
      </c>
      <c r="Y16" s="59">
        <f>'NC Users'!V12</f>
        <v>132.59565453057695</v>
      </c>
      <c r="Z16" s="59">
        <f>'NC Users'!W12</f>
        <v>132.24355754674397</v>
      </c>
      <c r="AA16" s="59">
        <f>'NC Users'!X12</f>
        <v>131.89146056291099</v>
      </c>
      <c r="AB16" s="59">
        <f>'NC Users'!Y12</f>
        <v>131.53936357907804</v>
      </c>
      <c r="AC16" s="284">
        <f>'NC Users'!Z12</f>
        <v>131.18726659524506</v>
      </c>
      <c r="AD16" s="362">
        <f t="shared" si="0"/>
        <v>2934.9201684358359</v>
      </c>
      <c r="AG16" s="390"/>
    </row>
    <row r="17" spans="1:33" s="53" customFormat="1" ht="12">
      <c r="A17" s="58"/>
      <c r="B17" s="70"/>
      <c r="C17" s="78" t="s">
        <v>427</v>
      </c>
      <c r="D17" s="228"/>
      <c r="E17" s="235"/>
      <c r="F17" s="59">
        <f>'NC Users'!C13</f>
        <v>0</v>
      </c>
      <c r="G17" s="59">
        <f>'NC Users'!D13</f>
        <v>0</v>
      </c>
      <c r="H17" s="59">
        <f>'NC Users'!E13</f>
        <v>86.190564089544409</v>
      </c>
      <c r="I17" s="59">
        <f>'NC Users'!F13</f>
        <v>86.988661336035875</v>
      </c>
      <c r="J17" s="59">
        <f>'NC Users'!G13</f>
        <v>87.786758582527327</v>
      </c>
      <c r="K17" s="59">
        <f>'NC Users'!H13</f>
        <v>88.584855829018792</v>
      </c>
      <c r="L17" s="59">
        <f>'NC Users'!I13</f>
        <v>89.382953075510258</v>
      </c>
      <c r="M17" s="59">
        <f>'NC Users'!J13</f>
        <v>90.18105032200171</v>
      </c>
      <c r="N17" s="59">
        <f>'NC Users'!K13</f>
        <v>90.979147568493175</v>
      </c>
      <c r="O17" s="59">
        <f>'NC Users'!L13</f>
        <v>90.74441624593787</v>
      </c>
      <c r="P17" s="59">
        <f>'NC Users'!M13</f>
        <v>90.509684923382537</v>
      </c>
      <c r="Q17" s="59">
        <f>'NC Users'!N13</f>
        <v>90.274953600827217</v>
      </c>
      <c r="R17" s="59">
        <f>'NC Users'!O13</f>
        <v>90.040222278271912</v>
      </c>
      <c r="S17" s="59">
        <f>'NC Users'!P13</f>
        <v>89.805490955716579</v>
      </c>
      <c r="T17" s="59">
        <f>'NC Users'!Q13</f>
        <v>89.570759633161273</v>
      </c>
      <c r="U17" s="59">
        <f>'NC Users'!R13</f>
        <v>89.33602831060594</v>
      </c>
      <c r="V17" s="59">
        <f>'NC Users'!S13</f>
        <v>89.101296988050606</v>
      </c>
      <c r="W17" s="59">
        <f>'NC Users'!T13</f>
        <v>88.866565665495273</v>
      </c>
      <c r="X17" s="59">
        <f>'NC Users'!U13</f>
        <v>88.631834342939953</v>
      </c>
      <c r="Y17" s="59">
        <f>'NC Users'!V13</f>
        <v>88.397103020384634</v>
      </c>
      <c r="Z17" s="59">
        <f>'NC Users'!W13</f>
        <v>88.162371697829315</v>
      </c>
      <c r="AA17" s="59">
        <f>'NC Users'!X13</f>
        <v>87.927640375274009</v>
      </c>
      <c r="AB17" s="59">
        <f>'NC Users'!Y13</f>
        <v>87.692909052718704</v>
      </c>
      <c r="AC17" s="284">
        <f>'NC Users'!Z13</f>
        <v>87.458177730163371</v>
      </c>
      <c r="AD17" s="362">
        <f t="shared" si="0"/>
        <v>1956.613445623891</v>
      </c>
      <c r="AG17" s="70" t="s">
        <v>570</v>
      </c>
    </row>
    <row r="18" spans="1:33" s="53" customFormat="1" ht="12">
      <c r="A18" s="58"/>
      <c r="B18" s="70"/>
      <c r="C18" s="48"/>
      <c r="D18" s="228"/>
      <c r="E18" s="235"/>
      <c r="AC18" s="283"/>
      <c r="AD18" s="362">
        <f t="shared" si="0"/>
        <v>0</v>
      </c>
      <c r="AG18" s="391">
        <f>AD45+AD57+AD64</f>
        <v>1162051.5837578631</v>
      </c>
    </row>
    <row r="19" spans="1:33" s="53" customFormat="1" ht="12">
      <c r="A19" s="58"/>
      <c r="B19" s="70"/>
      <c r="C19" s="58" t="s">
        <v>436</v>
      </c>
      <c r="D19" s="228"/>
      <c r="E19" s="235"/>
      <c r="AC19" s="283"/>
      <c r="AD19" s="361">
        <f t="shared" si="0"/>
        <v>0</v>
      </c>
      <c r="AG19" s="308" t="e">
        <f>+#REF!+#REF!+#REF!+AD166+AD164</f>
        <v>#REF!</v>
      </c>
    </row>
    <row r="20" spans="1:33" s="53" customFormat="1" ht="12">
      <c r="A20" s="58"/>
      <c r="B20" s="70"/>
      <c r="C20" s="78" t="s">
        <v>505</v>
      </c>
      <c r="D20" s="228"/>
      <c r="E20" s="235"/>
      <c r="F20" s="299">
        <f>'NC Users'!C24</f>
        <v>0</v>
      </c>
      <c r="G20" s="299">
        <f>'NC Users'!D24</f>
        <v>0</v>
      </c>
      <c r="H20" s="299">
        <f>'NC Users'!E24</f>
        <v>11592.472365888802</v>
      </c>
      <c r="I20" s="299">
        <f>'NC Users'!F24</f>
        <v>11699.814977843773</v>
      </c>
      <c r="J20" s="299">
        <f>'NC Users'!G24</f>
        <v>11807.157589798744</v>
      </c>
      <c r="K20" s="299">
        <f>'NC Users'!H24</f>
        <v>11914.500201753717</v>
      </c>
      <c r="L20" s="299">
        <f>'NC Users'!I24</f>
        <v>12021.842813708694</v>
      </c>
      <c r="M20" s="299">
        <f>'NC Users'!J24</f>
        <v>12129.185425663667</v>
      </c>
      <c r="N20" s="299">
        <f>'NC Users'!K24</f>
        <v>12236.528037618637</v>
      </c>
      <c r="O20" s="299">
        <f>'NC Users'!L24</f>
        <v>12204.957106405056</v>
      </c>
      <c r="P20" s="299">
        <f>'NC Users'!M24</f>
        <v>12173.38617519147</v>
      </c>
      <c r="Q20" s="299">
        <f>'NC Users'!N24</f>
        <v>12141.815243977884</v>
      </c>
      <c r="R20" s="299">
        <f>'NC Users'!O24</f>
        <v>12110.244312764302</v>
      </c>
      <c r="S20" s="299">
        <f>'NC Users'!P24</f>
        <v>12078.67338155071</v>
      </c>
      <c r="T20" s="299">
        <f>'NC Users'!Q24</f>
        <v>12047.10245033713</v>
      </c>
      <c r="U20" s="299">
        <f>'NC Users'!R24</f>
        <v>12015.531519123548</v>
      </c>
      <c r="V20" s="299">
        <f>'NC Users'!S24</f>
        <v>11983.960587909958</v>
      </c>
      <c r="W20" s="299">
        <f>'NC Users'!T24</f>
        <v>11952.389656696376</v>
      </c>
      <c r="X20" s="299">
        <f>'NC Users'!U24</f>
        <v>11920.818725482786</v>
      </c>
      <c r="Y20" s="299">
        <f>'NC Users'!V24</f>
        <v>11889.247794269202</v>
      </c>
      <c r="Z20" s="299">
        <f>'NC Users'!W24</f>
        <v>11857.676863055622</v>
      </c>
      <c r="AA20" s="299">
        <f>'NC Users'!X24</f>
        <v>11826.105931842034</v>
      </c>
      <c r="AB20" s="299">
        <f>'NC Users'!Y24</f>
        <v>11794.535000628453</v>
      </c>
      <c r="AC20" s="408">
        <f>'NC Users'!Z24</f>
        <v>11762.964069414864</v>
      </c>
      <c r="AD20" s="364">
        <f t="shared" si="0"/>
        <v>263160.91023092548</v>
      </c>
    </row>
    <row r="21" spans="1:33" s="53" customFormat="1" ht="12">
      <c r="A21" s="58"/>
      <c r="B21" s="70"/>
      <c r="C21" s="78" t="s">
        <v>506</v>
      </c>
      <c r="D21" s="228"/>
      <c r="E21" s="235"/>
      <c r="F21" s="299">
        <f>'NC Users'!C25</f>
        <v>0</v>
      </c>
      <c r="G21" s="299">
        <f>'NC Users'!D25</f>
        <v>0</v>
      </c>
      <c r="H21" s="299">
        <f>'NC Users'!E25</f>
        <v>-2137.2153277247753</v>
      </c>
      <c r="I21" s="299">
        <f>'NC Users'!F25</f>
        <v>-2157.0052628091353</v>
      </c>
      <c r="J21" s="299">
        <f>'NC Users'!G25</f>
        <v>-2176.7951978934952</v>
      </c>
      <c r="K21" s="299">
        <f>'NC Users'!H25</f>
        <v>-2196.5851329778557</v>
      </c>
      <c r="L21" s="299">
        <f>'NC Users'!I25</f>
        <v>-2216.375068062217</v>
      </c>
      <c r="M21" s="299">
        <f>'NC Users'!J25</f>
        <v>-2236.1650031465774</v>
      </c>
      <c r="N21" s="299">
        <f>'NC Users'!K25</f>
        <v>-2255.9549382309369</v>
      </c>
      <c r="O21" s="299">
        <f>'NC Users'!L25</f>
        <v>-2250.1344474874136</v>
      </c>
      <c r="P21" s="299">
        <f>'NC Users'!M25</f>
        <v>-2244.3139567438889</v>
      </c>
      <c r="Q21" s="299">
        <f>'NC Users'!N25</f>
        <v>-2238.4934660003642</v>
      </c>
      <c r="R21" s="299">
        <f>'NC Users'!O25</f>
        <v>-2232.6729752568403</v>
      </c>
      <c r="S21" s="299">
        <f>'NC Users'!P25</f>
        <v>-2226.8524845133147</v>
      </c>
      <c r="T21" s="299">
        <f>'NC Users'!Q25</f>
        <v>-2221.0319937697909</v>
      </c>
      <c r="U21" s="299">
        <f>'NC Users'!R25</f>
        <v>-2215.2115030262671</v>
      </c>
      <c r="V21" s="299">
        <f>'NC Users'!S25</f>
        <v>-2209.3910122827419</v>
      </c>
      <c r="W21" s="299">
        <f>'NC Users'!T25</f>
        <v>-2203.5705215392181</v>
      </c>
      <c r="X21" s="299">
        <f>'NC Users'!U25</f>
        <v>-2197.7500307956925</v>
      </c>
      <c r="Y21" s="299">
        <f>'NC Users'!V25</f>
        <v>-2191.9295400521682</v>
      </c>
      <c r="Z21" s="299">
        <f>'NC Users'!W25</f>
        <v>-2186.1090493086449</v>
      </c>
      <c r="AA21" s="299">
        <f>'NC Users'!X25</f>
        <v>-2180.2885585651197</v>
      </c>
      <c r="AB21" s="299">
        <f>'NC Users'!Y25</f>
        <v>-2174.4680678215964</v>
      </c>
      <c r="AC21" s="408">
        <f>'NC Users'!Z25</f>
        <v>-2168.6475770780712</v>
      </c>
      <c r="AD21" s="364">
        <f t="shared" si="0"/>
        <v>-48516.961115086116</v>
      </c>
    </row>
    <row r="22" spans="1:33" s="53" customFormat="1" ht="12">
      <c r="A22" s="58"/>
      <c r="B22" s="70"/>
      <c r="C22" s="78" t="s">
        <v>507</v>
      </c>
      <c r="D22" s="228"/>
      <c r="E22" s="235"/>
      <c r="F22" s="299">
        <f>'NC Users'!C26</f>
        <v>0</v>
      </c>
      <c r="G22" s="299">
        <f>'NC Users'!D26</f>
        <v>0</v>
      </c>
      <c r="H22" s="299">
        <f>'NC Users'!E26</f>
        <v>-6955.4834195332814</v>
      </c>
      <c r="I22" s="299">
        <f>'NC Users'!F26</f>
        <v>-7019.8889867062635</v>
      </c>
      <c r="J22" s="299">
        <f>'NC Users'!G26</f>
        <v>-7084.2945538792465</v>
      </c>
      <c r="K22" s="299">
        <f>'NC Users'!H26</f>
        <v>-7148.7001210522303</v>
      </c>
      <c r="L22" s="299">
        <f>'NC Users'!I26</f>
        <v>-7213.105688225216</v>
      </c>
      <c r="M22" s="299">
        <f>'NC Users'!J26</f>
        <v>-7277.5112553981999</v>
      </c>
      <c r="N22" s="299">
        <f>'NC Users'!K26</f>
        <v>-7341.9168225711828</v>
      </c>
      <c r="O22" s="299">
        <f>'NC Users'!L26</f>
        <v>-7322.9742638430325</v>
      </c>
      <c r="P22" s="299">
        <f>'NC Users'!M26</f>
        <v>-7304.0317051148813</v>
      </c>
      <c r="Q22" s="299">
        <f>'NC Users'!N26</f>
        <v>-7285.089146386731</v>
      </c>
      <c r="R22" s="299">
        <f>'NC Users'!O26</f>
        <v>-7266.1465876585808</v>
      </c>
      <c r="S22" s="299">
        <f>'NC Users'!P26</f>
        <v>-7247.2040289304268</v>
      </c>
      <c r="T22" s="299">
        <f>'NC Users'!Q26</f>
        <v>-7228.2614702022784</v>
      </c>
      <c r="U22" s="299">
        <f>'NC Users'!R26</f>
        <v>-7209.3189114741281</v>
      </c>
      <c r="V22" s="299">
        <f>'NC Users'!S26</f>
        <v>-7190.3763527459751</v>
      </c>
      <c r="W22" s="299">
        <f>'NC Users'!T26</f>
        <v>-7171.4337940178248</v>
      </c>
      <c r="X22" s="299">
        <f>'NC Users'!U26</f>
        <v>-7152.4912352896717</v>
      </c>
      <c r="Y22" s="299">
        <f>'NC Users'!V26</f>
        <v>-7133.5486765615224</v>
      </c>
      <c r="Z22" s="299">
        <f>'NC Users'!W26</f>
        <v>-7114.6061178333721</v>
      </c>
      <c r="AA22" s="299">
        <f>'NC Users'!X26</f>
        <v>-7095.6635591052209</v>
      </c>
      <c r="AB22" s="299">
        <f>'NC Users'!Y26</f>
        <v>-7076.7210003770706</v>
      </c>
      <c r="AC22" s="408">
        <f>'NC Users'!Z26</f>
        <v>-7057.7784416489185</v>
      </c>
      <c r="AD22" s="364">
        <f t="shared" si="0"/>
        <v>-157896.54613855525</v>
      </c>
    </row>
    <row r="23" spans="1:33" s="53" customFormat="1" ht="12">
      <c r="A23" s="58"/>
      <c r="B23" s="70"/>
      <c r="C23" s="78" t="s">
        <v>508</v>
      </c>
      <c r="D23" s="228"/>
      <c r="E23" s="235"/>
      <c r="F23" s="299">
        <f>'NC Users'!C27</f>
        <v>0</v>
      </c>
      <c r="G23" s="299">
        <f>'NC Users'!D27</f>
        <v>0</v>
      </c>
      <c r="H23" s="299">
        <f>'NC Users'!E27</f>
        <v>-45210.642226966331</v>
      </c>
      <c r="I23" s="299">
        <f>'NC Users'!F27</f>
        <v>-45629.278413590713</v>
      </c>
      <c r="J23" s="299">
        <f>'NC Users'!G27</f>
        <v>-46047.914600215103</v>
      </c>
      <c r="K23" s="299">
        <f>'NC Users'!H27</f>
        <v>-46466.5507868395</v>
      </c>
      <c r="L23" s="299">
        <f>'NC Users'!I27</f>
        <v>-46885.186973463904</v>
      </c>
      <c r="M23" s="299">
        <f>'NC Users'!J27</f>
        <v>-47303.823160088301</v>
      </c>
      <c r="N23" s="299">
        <f>'NC Users'!K27</f>
        <v>-47722.459346712691</v>
      </c>
      <c r="O23" s="299">
        <f>'NC Users'!L27</f>
        <v>-47599.332714979711</v>
      </c>
      <c r="P23" s="299">
        <f>'NC Users'!M27</f>
        <v>-47476.206083246725</v>
      </c>
      <c r="Q23" s="299">
        <f>'NC Users'!N27</f>
        <v>-47353.079451513753</v>
      </c>
      <c r="R23" s="299">
        <f>'NC Users'!O27</f>
        <v>-47229.952819780774</v>
      </c>
      <c r="S23" s="299">
        <f>'NC Users'!P27</f>
        <v>-47106.826188047773</v>
      </c>
      <c r="T23" s="299">
        <f>'NC Users'!Q27</f>
        <v>-46983.699556314808</v>
      </c>
      <c r="U23" s="299">
        <f>'NC Users'!R27</f>
        <v>-46860.572924581829</v>
      </c>
      <c r="V23" s="299">
        <f>'NC Users'!S27</f>
        <v>-46737.446292848836</v>
      </c>
      <c r="W23" s="299">
        <f>'NC Users'!T27</f>
        <v>-46614.319661115864</v>
      </c>
      <c r="X23" s="299">
        <f>'NC Users'!U27</f>
        <v>-46491.193029382863</v>
      </c>
      <c r="Y23" s="299">
        <f>'NC Users'!V27</f>
        <v>-46368.066397649898</v>
      </c>
      <c r="Z23" s="299">
        <f>'NC Users'!W27</f>
        <v>-46244.939765916919</v>
      </c>
      <c r="AA23" s="299">
        <f>'NC Users'!X27</f>
        <v>-46121.813134183933</v>
      </c>
      <c r="AB23" s="299">
        <f>'NC Users'!Y27</f>
        <v>-45998.686502450961</v>
      </c>
      <c r="AC23" s="408">
        <f>'NC Users'!Z27</f>
        <v>-45875.559870717967</v>
      </c>
      <c r="AD23" s="364">
        <f t="shared" si="0"/>
        <v>-1026327.5499006091</v>
      </c>
    </row>
    <row r="24" spans="1:33" s="53" customFormat="1" ht="12">
      <c r="A24" s="58"/>
      <c r="B24" s="70"/>
      <c r="C24" s="54" t="s">
        <v>509</v>
      </c>
      <c r="D24" s="228"/>
      <c r="E24" s="235"/>
      <c r="F24" s="459">
        <f>'NC Users'!C28</f>
        <v>0</v>
      </c>
      <c r="G24" s="459">
        <f>'NC Users'!D28</f>
        <v>0</v>
      </c>
      <c r="H24" s="459">
        <f>'NC Users'!E28</f>
        <v>7787.5944565499867</v>
      </c>
      <c r="I24" s="459">
        <f>'NC Users'!F28</f>
        <v>7686.4748614553946</v>
      </c>
      <c r="J24" s="459">
        <f>'NC Users'!G28</f>
        <v>7589.7165543778956</v>
      </c>
      <c r="K24" s="459">
        <f>'NC Users'!H28</f>
        <v>7497.0433379921051</v>
      </c>
      <c r="L24" s="459">
        <f>'NC Users'!I28</f>
        <v>7408.2018546768577</v>
      </c>
      <c r="M24" s="459">
        <f>'NC Users'!J28</f>
        <v>7322.9592734668231</v>
      </c>
      <c r="N24" s="459">
        <f>'NC Users'!K28</f>
        <v>7241.1012525231854</v>
      </c>
      <c r="O24" s="459">
        <f>'NC Users'!L28</f>
        <v>7218.5941939437007</v>
      </c>
      <c r="P24" s="459">
        <f>'NC Users'!M28</f>
        <v>7196.1109598355461</v>
      </c>
      <c r="Q24" s="459">
        <f>'NC Users'!N28</f>
        <v>7173.6515123902373</v>
      </c>
      <c r="R24" s="459">
        <f>'NC Users'!O28</f>
        <v>7151.2158138792483</v>
      </c>
      <c r="S24" s="459">
        <f>'NC Users'!P28</f>
        <v>7128.803826653796</v>
      </c>
      <c r="T24" s="459">
        <f>'NC Users'!Q28</f>
        <v>7106.4155131446469</v>
      </c>
      <c r="U24" s="459">
        <f>'NC Users'!R28</f>
        <v>7084.050835861879</v>
      </c>
      <c r="V24" s="459">
        <f>'NC Users'!S28</f>
        <v>7061.7097573946958</v>
      </c>
      <c r="W24" s="459">
        <f>'NC Users'!T28</f>
        <v>7039.3922404112118</v>
      </c>
      <c r="X24" s="459">
        <f>'NC Users'!U28</f>
        <v>7017.0982476582303</v>
      </c>
      <c r="Y24" s="459">
        <f>'NC Users'!V28</f>
        <v>6994.8277419610667</v>
      </c>
      <c r="Z24" s="459">
        <f>'NC Users'!W28</f>
        <v>6972.5806862233094</v>
      </c>
      <c r="AA24" s="459">
        <f>'NC Users'!X28</f>
        <v>6950.3570434266294</v>
      </c>
      <c r="AB24" s="459">
        <f>'NC Users'!Y28</f>
        <v>6928.1567766305798</v>
      </c>
      <c r="AC24" s="460">
        <f>'NC Users'!Z28</f>
        <v>6905.9798489723762</v>
      </c>
      <c r="AD24" s="365">
        <f t="shared" si="0"/>
        <v>158462.03658942939</v>
      </c>
    </row>
    <row r="25" spans="1:33" s="53" customFormat="1" ht="12">
      <c r="A25" s="58"/>
      <c r="B25" s="70"/>
      <c r="C25" s="66"/>
      <c r="D25" s="228"/>
      <c r="E25" s="235"/>
      <c r="H25" s="59"/>
      <c r="I25" s="59"/>
      <c r="J25" s="59"/>
      <c r="K25" s="59"/>
      <c r="L25" s="59"/>
      <c r="M25" s="59"/>
      <c r="N25" s="59"/>
      <c r="O25" s="59"/>
      <c r="P25" s="59"/>
      <c r="Q25" s="59"/>
      <c r="R25" s="59"/>
      <c r="S25" s="59"/>
      <c r="T25" s="59"/>
      <c r="U25" s="59"/>
      <c r="V25" s="59"/>
      <c r="W25" s="59"/>
      <c r="X25" s="59"/>
      <c r="Y25" s="59"/>
      <c r="AC25" s="283"/>
      <c r="AD25" s="361">
        <f t="shared" si="0"/>
        <v>0</v>
      </c>
    </row>
    <row r="26" spans="1:33" s="53" customFormat="1" ht="12">
      <c r="A26" s="58" t="s">
        <v>233</v>
      </c>
      <c r="B26" s="58"/>
      <c r="D26" s="228"/>
      <c r="E26" s="235"/>
      <c r="H26" s="59"/>
      <c r="I26" s="59"/>
      <c r="J26" s="59"/>
      <c r="K26" s="59"/>
      <c r="L26" s="59"/>
      <c r="M26" s="59"/>
      <c r="N26" s="59"/>
      <c r="O26" s="59"/>
      <c r="P26" s="59"/>
      <c r="Q26" s="59"/>
      <c r="R26" s="59"/>
      <c r="S26" s="59"/>
      <c r="T26" s="59"/>
      <c r="U26" s="59"/>
      <c r="V26" s="59"/>
      <c r="W26" s="59"/>
      <c r="X26" s="59"/>
      <c r="Y26" s="59"/>
      <c r="AC26" s="283"/>
      <c r="AD26" s="361">
        <f t="shared" si="0"/>
        <v>0</v>
      </c>
    </row>
    <row r="27" spans="1:33" s="53" customFormat="1" ht="12">
      <c r="A27" s="58"/>
      <c r="B27" s="5" t="s">
        <v>369</v>
      </c>
      <c r="D27" s="228"/>
      <c r="E27" s="235"/>
      <c r="H27" s="59"/>
      <c r="I27" s="59"/>
      <c r="J27" s="59"/>
      <c r="K27" s="59"/>
      <c r="L27" s="59"/>
      <c r="M27" s="59"/>
      <c r="N27" s="59"/>
      <c r="O27" s="59"/>
      <c r="P27" s="59"/>
      <c r="Q27" s="59"/>
      <c r="R27" s="59"/>
      <c r="S27" s="59"/>
      <c r="T27" s="59"/>
      <c r="U27" s="59"/>
      <c r="V27" s="59"/>
      <c r="W27" s="59"/>
      <c r="X27" s="59"/>
      <c r="Y27" s="59"/>
      <c r="AC27" s="283"/>
      <c r="AD27" s="361">
        <f t="shared" si="0"/>
        <v>0</v>
      </c>
    </row>
    <row r="28" spans="1:33" s="53" customFormat="1" ht="12">
      <c r="A28" s="58"/>
      <c r="B28" s="70" t="s">
        <v>370</v>
      </c>
      <c r="C28" s="70" t="s">
        <v>366</v>
      </c>
      <c r="D28" s="228"/>
      <c r="E28" s="235"/>
      <c r="F28" s="458">
        <f>'NC Users'!C18</f>
        <v>0</v>
      </c>
      <c r="G28" s="458">
        <f>'NC Users'!D18</f>
        <v>5463471.6139784353</v>
      </c>
      <c r="H28" s="458">
        <f>'NC Users'!E18</f>
        <v>0</v>
      </c>
      <c r="I28" s="458">
        <f>'NC Users'!F18</f>
        <v>0</v>
      </c>
      <c r="J28" s="458">
        <f>'NC Users'!G18</f>
        <v>0</v>
      </c>
      <c r="K28" s="458">
        <f>'NC Users'!H18</f>
        <v>0</v>
      </c>
      <c r="L28" s="458">
        <f>'NC Users'!I18</f>
        <v>0</v>
      </c>
      <c r="M28" s="458">
        <f>'NC Users'!J18</f>
        <v>0</v>
      </c>
      <c r="N28" s="458">
        <f>'NC Users'!K18</f>
        <v>0</v>
      </c>
      <c r="O28" s="458">
        <f>'NC Users'!L18</f>
        <v>0</v>
      </c>
      <c r="P28" s="458">
        <f>'NC Users'!M18</f>
        <v>0</v>
      </c>
      <c r="Q28" s="458">
        <f>'NC Users'!N18</f>
        <v>0</v>
      </c>
      <c r="R28" s="458">
        <f>'NC Users'!O18</f>
        <v>0</v>
      </c>
      <c r="S28" s="458">
        <f>'NC Users'!P18</f>
        <v>0</v>
      </c>
      <c r="T28" s="458">
        <f>'NC Users'!Q18</f>
        <v>0</v>
      </c>
      <c r="U28" s="458">
        <f>'NC Users'!R18</f>
        <v>0</v>
      </c>
      <c r="V28" s="458">
        <f>'NC Users'!S18</f>
        <v>0</v>
      </c>
      <c r="W28" s="458">
        <f>'NC Users'!T18</f>
        <v>0</v>
      </c>
      <c r="X28" s="458">
        <f>'NC Users'!U18</f>
        <v>0</v>
      </c>
      <c r="Y28" s="458">
        <f>'NC Users'!V18</f>
        <v>0</v>
      </c>
      <c r="Z28" s="458">
        <f>'NC Users'!W18</f>
        <v>0</v>
      </c>
      <c r="AA28" s="458">
        <f>'NC Users'!X18</f>
        <v>0</v>
      </c>
      <c r="AB28" s="458">
        <f>'NC Users'!Y18</f>
        <v>0</v>
      </c>
      <c r="AC28" s="461">
        <f>'NC Users'!Z18</f>
        <v>0</v>
      </c>
      <c r="AD28" s="366">
        <f t="shared" si="0"/>
        <v>5463471.6139784353</v>
      </c>
    </row>
    <row r="29" spans="1:33" s="53" customFormat="1" ht="12">
      <c r="A29" s="58"/>
      <c r="B29" s="70" t="s">
        <v>371</v>
      </c>
      <c r="C29" s="70" t="s">
        <v>530</v>
      </c>
      <c r="D29" s="228"/>
      <c r="E29" s="235"/>
      <c r="F29" s="458">
        <f>'NC Users'!C19</f>
        <v>0</v>
      </c>
      <c r="G29" s="458">
        <f>'NC Users'!D19</f>
        <v>0</v>
      </c>
      <c r="H29" s="458">
        <f>'NC Users'!E19</f>
        <v>-3477.7417097666407</v>
      </c>
      <c r="I29" s="458">
        <f>'NC Users'!F19</f>
        <v>-3509.9444933531317</v>
      </c>
      <c r="J29" s="458">
        <f>'NC Users'!G19</f>
        <v>-3542.1472769396232</v>
      </c>
      <c r="K29" s="458">
        <f>'NC Users'!H19</f>
        <v>-3574.3500605261152</v>
      </c>
      <c r="L29" s="458">
        <f>'NC Users'!I19</f>
        <v>-3606.552844112608</v>
      </c>
      <c r="M29" s="458">
        <f>'NC Users'!J19</f>
        <v>-3638.7556276990999</v>
      </c>
      <c r="N29" s="458">
        <f>'NC Users'!K19</f>
        <v>-3670.9584112855914</v>
      </c>
      <c r="O29" s="458">
        <f>'NC Users'!L19</f>
        <v>-3661.4871319215163</v>
      </c>
      <c r="P29" s="458">
        <f>'NC Users'!M19</f>
        <v>-3652.0158525574407</v>
      </c>
      <c r="Q29" s="458">
        <f>'NC Users'!N19</f>
        <v>-3642.5445731933655</v>
      </c>
      <c r="R29" s="458">
        <f>'NC Users'!O19</f>
        <v>-3633.0732938292904</v>
      </c>
      <c r="S29" s="458">
        <f>'NC Users'!P19</f>
        <v>-3623.6020144652134</v>
      </c>
      <c r="T29" s="458">
        <f>'NC Users'!Q19</f>
        <v>-3614.1307351011392</v>
      </c>
      <c r="U29" s="458">
        <f>'NC Users'!R19</f>
        <v>-3604.659455737064</v>
      </c>
      <c r="V29" s="458">
        <f>'NC Users'!S19</f>
        <v>-3595.1881763729875</v>
      </c>
      <c r="W29" s="458">
        <f>'NC Users'!T19</f>
        <v>-3585.7168970089124</v>
      </c>
      <c r="X29" s="458">
        <f>'NC Users'!U19</f>
        <v>-3576.2456176448359</v>
      </c>
      <c r="Y29" s="458">
        <f>'NC Users'!V19</f>
        <v>-3566.7743382807612</v>
      </c>
      <c r="Z29" s="458">
        <f>'NC Users'!W19</f>
        <v>-3557.303058916686</v>
      </c>
      <c r="AA29" s="458">
        <f>'NC Users'!X19</f>
        <v>-3547.8317795526104</v>
      </c>
      <c r="AB29" s="458">
        <f>'NC Users'!Y19</f>
        <v>-3538.3605001885353</v>
      </c>
      <c r="AC29" s="461">
        <f>'NC Users'!Z19</f>
        <v>-3528.8892208244592</v>
      </c>
      <c r="AD29" s="364">
        <f t="shared" si="0"/>
        <v>-78948.273069277624</v>
      </c>
    </row>
    <row r="30" spans="1:33" s="53" customFormat="1" ht="12">
      <c r="A30" s="58"/>
      <c r="B30" s="70"/>
      <c r="C30" s="70" t="s">
        <v>366</v>
      </c>
      <c r="D30" s="228"/>
      <c r="E30" s="235"/>
      <c r="F30" s="458">
        <f>'NC Users'!C20</f>
        <v>0</v>
      </c>
      <c r="G30" s="458">
        <f>'NC Users'!D20</f>
        <v>0</v>
      </c>
      <c r="H30" s="458">
        <f>'NC Users'!E20</f>
        <v>5511056.7096898509</v>
      </c>
      <c r="I30" s="458">
        <f>'NC Users'!F20</f>
        <v>5562087.3443274461</v>
      </c>
      <c r="J30" s="458">
        <f>'NC Users'!G20</f>
        <v>5613117.9789650403</v>
      </c>
      <c r="K30" s="458">
        <f>'NC Users'!H20</f>
        <v>5664148.6136026345</v>
      </c>
      <c r="L30" s="458">
        <f>'NC Users'!I20</f>
        <v>5715179.2482402306</v>
      </c>
      <c r="M30" s="458">
        <f>'NC Users'!J20</f>
        <v>5766209.8828778248</v>
      </c>
      <c r="N30" s="458">
        <f>'NC Users'!K20</f>
        <v>5817240.5175154191</v>
      </c>
      <c r="O30" s="458">
        <f>'NC Users'!L20</f>
        <v>5802231.7094886061</v>
      </c>
      <c r="P30" s="458">
        <f>'NC Users'!M20</f>
        <v>5787222.9014617903</v>
      </c>
      <c r="Q30" s="458">
        <f>'NC Users'!N20</f>
        <v>5772214.0934349755</v>
      </c>
      <c r="R30" s="458">
        <f>'NC Users'!O20</f>
        <v>5757205.2854081625</v>
      </c>
      <c r="S30" s="458">
        <f>'NC Users'!P20</f>
        <v>5742196.4773813458</v>
      </c>
      <c r="T30" s="458">
        <f>'NC Users'!Q20</f>
        <v>5727187.6693545301</v>
      </c>
      <c r="U30" s="458">
        <f>'NC Users'!R20</f>
        <v>5712178.8613277161</v>
      </c>
      <c r="V30" s="458">
        <f>'NC Users'!S20</f>
        <v>5697170.0533008995</v>
      </c>
      <c r="W30" s="458">
        <f>'NC Users'!T20</f>
        <v>5682161.2452740837</v>
      </c>
      <c r="X30" s="458">
        <f>'NC Users'!U20</f>
        <v>5667152.4372472689</v>
      </c>
      <c r="Y30" s="458">
        <f>'NC Users'!V20</f>
        <v>5652143.629220454</v>
      </c>
      <c r="Z30" s="458">
        <f>'NC Users'!W20</f>
        <v>5637134.8211936401</v>
      </c>
      <c r="AA30" s="458">
        <f>'NC Users'!X20</f>
        <v>5622126.0131668234</v>
      </c>
      <c r="AB30" s="458">
        <f>'NC Users'!Y20</f>
        <v>5607117.2051400105</v>
      </c>
      <c r="AC30" s="461">
        <f>'NC Users'!Z20</f>
        <v>5592108.3971131938</v>
      </c>
      <c r="AD30" s="366">
        <f t="shared" si="0"/>
        <v>125106591.09473194</v>
      </c>
    </row>
    <row r="31" spans="1:33" s="53" customFormat="1" ht="12">
      <c r="A31" s="58"/>
      <c r="B31" s="58"/>
      <c r="D31" s="228"/>
      <c r="E31" s="235"/>
      <c r="AC31" s="283"/>
      <c r="AD31" s="361">
        <f t="shared" si="0"/>
        <v>0</v>
      </c>
    </row>
    <row r="32" spans="1:33" s="53" customFormat="1" ht="12">
      <c r="A32" s="58"/>
      <c r="B32" s="58"/>
      <c r="D32" s="228"/>
      <c r="E32" s="235"/>
      <c r="H32" s="59"/>
      <c r="I32" s="59"/>
      <c r="J32" s="59"/>
      <c r="K32" s="59"/>
      <c r="L32" s="59"/>
      <c r="M32" s="59"/>
      <c r="N32" s="59"/>
      <c r="O32" s="59"/>
      <c r="P32" s="59"/>
      <c r="Q32" s="59"/>
      <c r="R32" s="59"/>
      <c r="S32" s="59"/>
      <c r="T32" s="59"/>
      <c r="U32" s="59"/>
      <c r="V32" s="59"/>
      <c r="W32" s="59"/>
      <c r="X32" s="59"/>
      <c r="Y32" s="59"/>
      <c r="AC32" s="283"/>
      <c r="AD32" s="361">
        <f t="shared" si="0"/>
        <v>0</v>
      </c>
    </row>
    <row r="33" spans="1:30" s="53" customFormat="1" ht="12">
      <c r="A33" s="58" t="s">
        <v>364</v>
      </c>
      <c r="B33" s="58"/>
      <c r="D33" s="228"/>
      <c r="E33" s="235"/>
      <c r="H33" s="59"/>
      <c r="I33" s="59"/>
      <c r="J33" s="59"/>
      <c r="K33" s="59"/>
      <c r="L33" s="59"/>
      <c r="M33" s="59"/>
      <c r="N33" s="59"/>
      <c r="O33" s="59"/>
      <c r="P33" s="59"/>
      <c r="Q33" s="59"/>
      <c r="R33" s="59"/>
      <c r="S33" s="59"/>
      <c r="T33" s="59"/>
      <c r="U33" s="59"/>
      <c r="V33" s="59"/>
      <c r="W33" s="59"/>
      <c r="X33" s="59"/>
      <c r="Y33" s="59"/>
      <c r="AC33" s="283"/>
      <c r="AD33" s="361">
        <f t="shared" si="0"/>
        <v>0</v>
      </c>
    </row>
    <row r="34" spans="1:30" s="53" customFormat="1" ht="12">
      <c r="A34" s="58"/>
      <c r="B34" s="58"/>
      <c r="C34" s="216" t="s">
        <v>365</v>
      </c>
      <c r="D34" s="228"/>
      <c r="E34" s="235"/>
      <c r="H34" s="59"/>
      <c r="I34" s="59"/>
      <c r="J34" s="59"/>
      <c r="K34" s="59"/>
      <c r="L34" s="59"/>
      <c r="M34" s="59"/>
      <c r="N34" s="59"/>
      <c r="O34" s="59"/>
      <c r="P34" s="59"/>
      <c r="Q34" s="59"/>
      <c r="R34" s="59"/>
      <c r="S34" s="59"/>
      <c r="T34" s="59"/>
      <c r="U34" s="59"/>
      <c r="V34" s="59"/>
      <c r="W34" s="59"/>
      <c r="X34" s="59"/>
      <c r="Y34" s="59"/>
      <c r="AC34" s="283"/>
      <c r="AD34" s="361">
        <f t="shared" si="0"/>
        <v>0</v>
      </c>
    </row>
    <row r="35" spans="1:30" s="53" customFormat="1" ht="12">
      <c r="A35" s="58"/>
      <c r="B35" s="58"/>
      <c r="D35" s="228"/>
      <c r="E35" s="235"/>
      <c r="H35" s="59"/>
      <c r="I35" s="59"/>
      <c r="J35" s="59"/>
      <c r="K35" s="59"/>
      <c r="L35" s="59"/>
      <c r="M35" s="59"/>
      <c r="N35" s="59"/>
      <c r="O35" s="59"/>
      <c r="P35" s="59"/>
      <c r="Q35" s="59"/>
      <c r="R35" s="59"/>
      <c r="S35" s="59"/>
      <c r="T35" s="59"/>
      <c r="U35" s="59"/>
      <c r="V35" s="59"/>
      <c r="W35" s="59"/>
      <c r="X35" s="59"/>
      <c r="Y35" s="59"/>
      <c r="AC35" s="283"/>
      <c r="AD35" s="361">
        <f t="shared" si="0"/>
        <v>0</v>
      </c>
    </row>
    <row r="36" spans="1:30" s="53" customFormat="1" ht="12">
      <c r="A36" s="58"/>
      <c r="B36" s="58"/>
      <c r="D36" s="228"/>
      <c r="E36" s="235"/>
      <c r="H36" s="59"/>
      <c r="I36" s="59"/>
      <c r="J36" s="59"/>
      <c r="K36" s="59"/>
      <c r="L36" s="59"/>
      <c r="M36" s="59"/>
      <c r="N36" s="59"/>
      <c r="O36" s="59"/>
      <c r="P36" s="59"/>
      <c r="Q36" s="59"/>
      <c r="R36" s="59"/>
      <c r="S36" s="59"/>
      <c r="T36" s="59"/>
      <c r="U36" s="59"/>
      <c r="V36" s="59"/>
      <c r="W36" s="59"/>
      <c r="X36" s="59"/>
      <c r="Y36" s="59"/>
      <c r="AC36" s="283"/>
      <c r="AD36" s="361">
        <f t="shared" si="0"/>
        <v>0</v>
      </c>
    </row>
    <row r="37" spans="1:30" s="53" customFormat="1" ht="12">
      <c r="A37" s="58"/>
      <c r="B37" s="58"/>
      <c r="C37" s="45"/>
      <c r="D37" s="229"/>
      <c r="E37" s="235"/>
      <c r="F37" s="59"/>
      <c r="G37" s="59"/>
      <c r="H37" s="59"/>
      <c r="I37" s="59"/>
      <c r="J37" s="59"/>
      <c r="K37" s="59"/>
      <c r="L37" s="59"/>
      <c r="M37" s="59"/>
      <c r="N37" s="59"/>
      <c r="O37" s="59"/>
      <c r="P37" s="59"/>
      <c r="Q37" s="59"/>
      <c r="R37" s="59"/>
      <c r="S37" s="59"/>
      <c r="T37" s="59"/>
      <c r="U37" s="59"/>
      <c r="V37" s="59"/>
      <c r="W37" s="59"/>
      <c r="X37" s="59"/>
      <c r="Y37" s="59"/>
      <c r="AC37" s="283"/>
      <c r="AD37" s="361">
        <f t="shared" si="0"/>
        <v>0</v>
      </c>
    </row>
    <row r="38" spans="1:30" s="53" customFormat="1" ht="12">
      <c r="A38" s="44" t="s">
        <v>362</v>
      </c>
      <c r="B38" s="44"/>
      <c r="C38" s="45"/>
      <c r="D38" s="229"/>
      <c r="E38" s="236"/>
      <c r="F38" s="45"/>
      <c r="G38" s="59"/>
      <c r="H38" s="59"/>
      <c r="I38" s="59"/>
      <c r="J38" s="59"/>
      <c r="K38" s="59"/>
      <c r="L38" s="59"/>
      <c r="M38" s="59"/>
      <c r="N38" s="59"/>
      <c r="O38" s="59"/>
      <c r="P38" s="59"/>
      <c r="Q38" s="59"/>
      <c r="R38" s="59"/>
      <c r="S38" s="59"/>
      <c r="T38" s="59"/>
      <c r="U38" s="59"/>
      <c r="V38" s="59"/>
      <c r="W38" s="59"/>
      <c r="X38" s="59"/>
      <c r="Y38" s="59"/>
      <c r="AC38" s="283"/>
      <c r="AD38" s="361">
        <f t="shared" si="0"/>
        <v>0</v>
      </c>
    </row>
    <row r="39" spans="1:30" s="53" customFormat="1" ht="12">
      <c r="A39" s="44"/>
      <c r="B39" s="44"/>
      <c r="C39" s="45"/>
      <c r="D39" s="229"/>
      <c r="E39" s="236"/>
      <c r="F39" s="45"/>
      <c r="G39" s="59"/>
      <c r="H39" s="59"/>
      <c r="I39" s="59"/>
      <c r="J39" s="59"/>
      <c r="K39" s="59"/>
      <c r="L39" s="59"/>
      <c r="M39" s="59"/>
      <c r="N39" s="59"/>
      <c r="O39" s="59"/>
      <c r="P39" s="59"/>
      <c r="Q39" s="59"/>
      <c r="R39" s="59"/>
      <c r="S39" s="59"/>
      <c r="T39" s="59"/>
      <c r="U39" s="59"/>
      <c r="V39" s="59"/>
      <c r="W39" s="59"/>
      <c r="X39" s="59"/>
      <c r="Y39" s="59"/>
      <c r="AC39" s="283"/>
      <c r="AD39" s="361">
        <f t="shared" si="0"/>
        <v>0</v>
      </c>
    </row>
    <row r="40" spans="1:30" s="53" customFormat="1" ht="12">
      <c r="A40" s="44"/>
      <c r="B40" s="5" t="s">
        <v>367</v>
      </c>
      <c r="C40" s="45"/>
      <c r="D40" s="229"/>
      <c r="E40" s="236"/>
      <c r="F40" s="45"/>
      <c r="G40" s="59"/>
      <c r="H40" s="59"/>
      <c r="I40" s="59"/>
      <c r="J40" s="59"/>
      <c r="K40" s="59"/>
      <c r="L40" s="59"/>
      <c r="M40" s="59"/>
      <c r="N40" s="59"/>
      <c r="O40" s="59"/>
      <c r="P40" s="59"/>
      <c r="Q40" s="59"/>
      <c r="R40" s="59"/>
      <c r="S40" s="59"/>
      <c r="T40" s="59"/>
      <c r="U40" s="59"/>
      <c r="V40" s="59"/>
      <c r="W40" s="59"/>
      <c r="X40" s="59"/>
      <c r="Y40" s="59"/>
      <c r="AC40" s="283"/>
      <c r="AD40" s="361">
        <f t="shared" si="0"/>
        <v>0</v>
      </c>
    </row>
    <row r="41" spans="1:30" s="53" customFormat="1" ht="12">
      <c r="A41" s="44"/>
      <c r="B41" s="270" t="s">
        <v>463</v>
      </c>
      <c r="C41" s="70" t="s">
        <v>366</v>
      </c>
      <c r="D41" s="229"/>
      <c r="E41" s="236"/>
      <c r="F41" s="45"/>
      <c r="G41" s="59"/>
      <c r="H41" s="59"/>
      <c r="I41" s="59"/>
      <c r="J41" s="59"/>
      <c r="K41" s="59"/>
      <c r="L41" s="59"/>
      <c r="M41" s="59"/>
      <c r="N41" s="59"/>
      <c r="O41" s="59"/>
      <c r="P41" s="59"/>
      <c r="Q41" s="59"/>
      <c r="R41" s="59"/>
      <c r="S41" s="59"/>
      <c r="T41" s="59"/>
      <c r="U41" s="59"/>
      <c r="V41" s="59"/>
      <c r="W41" s="59"/>
      <c r="X41" s="59"/>
      <c r="Y41" s="59"/>
      <c r="AC41" s="283"/>
      <c r="AD41" s="361">
        <f t="shared" si="0"/>
        <v>0</v>
      </c>
    </row>
    <row r="42" spans="1:30" s="53" customFormat="1" ht="12">
      <c r="A42" s="44"/>
      <c r="C42" s="63" t="s">
        <v>131</v>
      </c>
      <c r="D42" s="229"/>
      <c r="E42" s="236"/>
      <c r="F42" s="45"/>
      <c r="G42" s="59"/>
      <c r="H42" s="59"/>
      <c r="I42" s="59"/>
      <c r="J42" s="59"/>
      <c r="K42" s="59"/>
      <c r="L42" s="59"/>
      <c r="M42" s="59"/>
      <c r="N42" s="59"/>
      <c r="O42" s="59"/>
      <c r="P42" s="59"/>
      <c r="Q42" s="59"/>
      <c r="R42" s="59"/>
      <c r="S42" s="59"/>
      <c r="T42" s="59"/>
      <c r="U42" s="59"/>
      <c r="V42" s="59"/>
      <c r="W42" s="59"/>
      <c r="X42" s="59"/>
      <c r="Y42" s="59"/>
      <c r="AC42" s="283"/>
      <c r="AD42" s="361">
        <f t="shared" si="0"/>
        <v>0</v>
      </c>
    </row>
    <row r="43" spans="1:30" s="53" customFormat="1" ht="12">
      <c r="A43" s="44"/>
      <c r="C43" s="245" t="s">
        <v>428</v>
      </c>
      <c r="D43" s="267">
        <f>30/3600</f>
        <v>8.3333333333333332E-3</v>
      </c>
      <c r="E43" s="236"/>
      <c r="F43" s="45"/>
      <c r="G43" s="59"/>
      <c r="H43" s="59"/>
      <c r="I43" s="59"/>
      <c r="J43" s="59"/>
      <c r="K43" s="59"/>
      <c r="L43" s="59"/>
      <c r="M43" s="59"/>
      <c r="N43" s="59"/>
      <c r="O43" s="59"/>
      <c r="P43" s="59"/>
      <c r="Q43" s="59"/>
      <c r="R43" s="59"/>
      <c r="S43" s="59"/>
      <c r="T43" s="59"/>
      <c r="U43" s="59"/>
      <c r="V43" s="59"/>
      <c r="W43" s="59"/>
      <c r="X43" s="59"/>
      <c r="Y43" s="59"/>
      <c r="AC43" s="283"/>
      <c r="AD43" s="361">
        <f t="shared" si="0"/>
        <v>0</v>
      </c>
    </row>
    <row r="44" spans="1:30" s="53" customFormat="1" ht="12">
      <c r="A44" s="44"/>
      <c r="C44" s="243" t="s">
        <v>419</v>
      </c>
      <c r="D44" s="273">
        <v>26.21</v>
      </c>
      <c r="E44" s="236"/>
      <c r="F44" s="45"/>
      <c r="G44" s="59"/>
      <c r="H44" s="59"/>
      <c r="I44" s="59"/>
      <c r="J44" s="59"/>
      <c r="K44" s="59"/>
      <c r="L44" s="59"/>
      <c r="M44" s="59"/>
      <c r="N44" s="59"/>
      <c r="O44" s="59"/>
      <c r="P44" s="59"/>
      <c r="Q44" s="59"/>
      <c r="R44" s="59"/>
      <c r="S44" s="59"/>
      <c r="T44" s="59"/>
      <c r="U44" s="59"/>
      <c r="V44" s="59"/>
      <c r="W44" s="59"/>
      <c r="X44" s="59"/>
      <c r="Y44" s="59"/>
      <c r="AC44" s="283"/>
      <c r="AD44" s="361">
        <f t="shared" si="0"/>
        <v>0</v>
      </c>
    </row>
    <row r="45" spans="1:30" s="53" customFormat="1" ht="12">
      <c r="A45" s="44"/>
      <c r="C45" s="62" t="s">
        <v>429</v>
      </c>
      <c r="D45" s="273"/>
      <c r="E45" s="236"/>
      <c r="F45" s="305">
        <v>0</v>
      </c>
      <c r="G45" s="305">
        <v>0</v>
      </c>
      <c r="H45" s="338">
        <f t="shared" ref="H45:AC45" si="1">$D$44*$D$43*H10</f>
        <v>49698.510666329683</v>
      </c>
      <c r="I45" s="338">
        <f t="shared" si="1"/>
        <v>50158.703089206931</v>
      </c>
      <c r="J45" s="338">
        <f t="shared" si="1"/>
        <v>50618.895512084171</v>
      </c>
      <c r="K45" s="338">
        <f t="shared" si="1"/>
        <v>51079.087934961419</v>
      </c>
      <c r="L45" s="338">
        <f t="shared" si="1"/>
        <v>51539.280357838681</v>
      </c>
      <c r="M45" s="338">
        <f t="shared" si="1"/>
        <v>51999.472780715929</v>
      </c>
      <c r="N45" s="338">
        <f t="shared" si="1"/>
        <v>52459.665203593169</v>
      </c>
      <c r="O45" s="338">
        <f t="shared" si="1"/>
        <v>52324.316314060241</v>
      </c>
      <c r="P45" s="338">
        <f t="shared" si="1"/>
        <v>52188.967424527298</v>
      </c>
      <c r="Q45" s="338">
        <f t="shared" si="1"/>
        <v>52053.618534994363</v>
      </c>
      <c r="R45" s="338">
        <f t="shared" si="1"/>
        <v>51918.269645461434</v>
      </c>
      <c r="S45" s="338">
        <f t="shared" si="1"/>
        <v>51782.920755928477</v>
      </c>
      <c r="T45" s="338">
        <f t="shared" si="1"/>
        <v>51647.571866395556</v>
      </c>
      <c r="U45" s="338">
        <f t="shared" si="1"/>
        <v>51512.22297686262</v>
      </c>
      <c r="V45" s="338">
        <f t="shared" si="1"/>
        <v>51376.87408732967</v>
      </c>
      <c r="W45" s="338">
        <f t="shared" si="1"/>
        <v>51241.525197796735</v>
      </c>
      <c r="X45" s="338">
        <f t="shared" si="1"/>
        <v>51106.176308263784</v>
      </c>
      <c r="Y45" s="338">
        <f t="shared" si="1"/>
        <v>50970.827418730856</v>
      </c>
      <c r="Z45" s="338">
        <f t="shared" si="1"/>
        <v>50835.478529197921</v>
      </c>
      <c r="AA45" s="338">
        <f t="shared" si="1"/>
        <v>50700.129639664985</v>
      </c>
      <c r="AB45" s="338">
        <f t="shared" si="1"/>
        <v>50564.780750132057</v>
      </c>
      <c r="AC45" s="339">
        <f t="shared" si="1"/>
        <v>50429.431860599114</v>
      </c>
      <c r="AD45" s="367">
        <f t="shared" si="0"/>
        <v>1128206.7268546752</v>
      </c>
    </row>
    <row r="46" spans="1:30" s="53" customFormat="1" ht="12">
      <c r="A46" s="44"/>
      <c r="B46" s="44"/>
      <c r="D46" s="273"/>
      <c r="E46" s="236"/>
      <c r="G46" s="59"/>
      <c r="H46" s="59"/>
      <c r="I46" s="59"/>
      <c r="J46" s="59"/>
      <c r="K46" s="59"/>
      <c r="L46" s="59"/>
      <c r="M46" s="59"/>
      <c r="N46" s="59"/>
      <c r="O46" s="59"/>
      <c r="P46" s="59"/>
      <c r="Q46" s="59"/>
      <c r="R46" s="59"/>
      <c r="S46" s="59"/>
      <c r="T46" s="59"/>
      <c r="U46" s="59"/>
      <c r="V46" s="59"/>
      <c r="W46" s="59"/>
      <c r="X46" s="59"/>
      <c r="Y46" s="59"/>
      <c r="AC46" s="283"/>
      <c r="AD46" s="361">
        <f t="shared" si="0"/>
        <v>0</v>
      </c>
    </row>
    <row r="47" spans="1:30" s="53" customFormat="1" ht="12">
      <c r="A47" s="44"/>
      <c r="B47" s="270" t="s">
        <v>462</v>
      </c>
      <c r="C47" s="54" t="s">
        <v>425</v>
      </c>
      <c r="D47" s="273"/>
      <c r="E47" s="236"/>
      <c r="F47" s="45">
        <f>F11</f>
        <v>0</v>
      </c>
      <c r="G47" s="45">
        <f t="shared" ref="G47:AC47" si="2">G11</f>
        <v>0</v>
      </c>
      <c r="H47" s="45">
        <f t="shared" si="2"/>
        <v>6826.1975733989648</v>
      </c>
      <c r="I47" s="104">
        <f t="shared" si="2"/>
        <v>6889.4059947022097</v>
      </c>
      <c r="J47" s="104">
        <f t="shared" si="2"/>
        <v>6952.6144160054555</v>
      </c>
      <c r="K47" s="104">
        <f t="shared" si="2"/>
        <v>7015.8228373087022</v>
      </c>
      <c r="L47" s="104">
        <f t="shared" si="2"/>
        <v>7079.0312586119508</v>
      </c>
      <c r="M47" s="104">
        <f t="shared" si="2"/>
        <v>7142.2396799151975</v>
      </c>
      <c r="N47" s="104">
        <f t="shared" si="2"/>
        <v>7205.4481012184433</v>
      </c>
      <c r="O47" s="104">
        <f t="shared" si="2"/>
        <v>7186.8576394741258</v>
      </c>
      <c r="P47" s="104">
        <f t="shared" si="2"/>
        <v>7168.2671777298074</v>
      </c>
      <c r="Q47" s="104">
        <f t="shared" si="2"/>
        <v>7149.6767159854899</v>
      </c>
      <c r="R47" s="104">
        <f t="shared" si="2"/>
        <v>7131.0862542411733</v>
      </c>
      <c r="S47" s="104">
        <f t="shared" si="2"/>
        <v>7112.4957924968521</v>
      </c>
      <c r="T47" s="104">
        <f t="shared" si="2"/>
        <v>7093.9053307525364</v>
      </c>
      <c r="U47" s="104">
        <f t="shared" si="2"/>
        <v>7075.3148690082189</v>
      </c>
      <c r="V47" s="104">
        <f t="shared" si="2"/>
        <v>7056.7244072638996</v>
      </c>
      <c r="W47" s="104">
        <f t="shared" si="2"/>
        <v>7038.1339455195821</v>
      </c>
      <c r="X47" s="104">
        <f t="shared" si="2"/>
        <v>7019.5434837752618</v>
      </c>
      <c r="Y47" s="104">
        <f t="shared" si="2"/>
        <v>7000.9530220309452</v>
      </c>
      <c r="Z47" s="104">
        <f t="shared" si="2"/>
        <v>6982.3625602866277</v>
      </c>
      <c r="AA47" s="104">
        <f t="shared" si="2"/>
        <v>6963.7720985423102</v>
      </c>
      <c r="AB47" s="104">
        <f t="shared" si="2"/>
        <v>6945.1816367979927</v>
      </c>
      <c r="AC47" s="287">
        <f t="shared" si="2"/>
        <v>6926.5911750536734</v>
      </c>
      <c r="AD47" s="366">
        <f t="shared" si="0"/>
        <v>154961.62597011941</v>
      </c>
    </row>
    <row r="48" spans="1:30" s="53" customFormat="1" ht="12">
      <c r="A48" s="44"/>
      <c r="B48" s="70"/>
      <c r="C48" s="63" t="s">
        <v>131</v>
      </c>
      <c r="D48" s="273"/>
      <c r="E48" s="236"/>
      <c r="F48" s="45"/>
      <c r="G48" s="45"/>
      <c r="H48" s="45"/>
      <c r="I48" s="45"/>
      <c r="J48" s="45"/>
      <c r="K48" s="45"/>
      <c r="L48" s="45"/>
      <c r="M48" s="45"/>
      <c r="N48" s="45"/>
      <c r="O48" s="45"/>
      <c r="P48" s="45"/>
      <c r="Q48" s="45"/>
      <c r="R48" s="45"/>
      <c r="S48" s="45"/>
      <c r="T48" s="45"/>
      <c r="U48" s="45"/>
      <c r="V48" s="45"/>
      <c r="W48" s="45"/>
      <c r="X48" s="45"/>
      <c r="Y48" s="45"/>
      <c r="Z48" s="45"/>
      <c r="AA48" s="45"/>
      <c r="AB48" s="45"/>
      <c r="AC48" s="283"/>
      <c r="AD48" s="361">
        <f t="shared" si="0"/>
        <v>0</v>
      </c>
    </row>
    <row r="49" spans="1:30" s="53" customFormat="1" ht="12">
      <c r="A49" s="44"/>
      <c r="B49" s="70"/>
      <c r="C49" s="243" t="s">
        <v>403</v>
      </c>
      <c r="D49" s="273"/>
      <c r="E49" s="236"/>
      <c r="F49" s="318">
        <f>'Mode Operating Assumptions'!D29</f>
        <v>0.39100279786137265</v>
      </c>
      <c r="G49" s="318">
        <f>'Mode Operating Assumptions'!E29</f>
        <v>0.39205714599476826</v>
      </c>
      <c r="H49" s="318">
        <f>'Mode Operating Assumptions'!F29</f>
        <v>0.39311874523828177</v>
      </c>
      <c r="I49" s="318">
        <f>'Mode Operating Assumptions'!G29</f>
        <v>0.39418767065254157</v>
      </c>
      <c r="J49" s="318">
        <f>'Mode Operating Assumptions'!H29</f>
        <v>0.39526399833776032</v>
      </c>
      <c r="K49" s="318">
        <f>'Mode Operating Assumptions'!I29</f>
        <v>0.39634780545179538</v>
      </c>
      <c r="L49" s="318">
        <f>'Mode Operating Assumptions'!J29</f>
        <v>0.39743917022858699</v>
      </c>
      <c r="M49" s="318">
        <f>'Mode Operating Assumptions'!K29</f>
        <v>0.39853817199698321</v>
      </c>
      <c r="N49" s="318">
        <f>'Mode Operating Assumptions'!L29</f>
        <v>0.39964489119996166</v>
      </c>
      <c r="O49" s="318">
        <f>'Mode Operating Assumptions'!M29</f>
        <v>0.40075940941425758</v>
      </c>
      <c r="P49" s="318">
        <f>'Mode Operating Assumptions'!N29</f>
        <v>0.40188180937040846</v>
      </c>
      <c r="Q49" s="318">
        <f>'Mode Operating Assumptions'!O29</f>
        <v>0.40301217497322528</v>
      </c>
      <c r="R49" s="318">
        <f>'Mode Operating Assumptions'!P29</f>
        <v>0.40415059132270104</v>
      </c>
      <c r="S49" s="318">
        <f>'Mode Operating Assumptions'!Q29</f>
        <v>0.40529714473536788</v>
      </c>
      <c r="T49" s="318">
        <f>'Mode Operating Assumptions'!R29</f>
        <v>0.40645192276611369</v>
      </c>
      <c r="U49" s="318">
        <f>'Mode Operating Assumptions'!S29</f>
        <v>0.40761501423047014</v>
      </c>
      <c r="V49" s="318">
        <f>'Mode Operating Assumptions'!T29</f>
        <v>0.40878650922738302</v>
      </c>
      <c r="W49" s="318">
        <f>'Mode Operating Assumptions'!U29</f>
        <v>0.40996649916247907</v>
      </c>
      <c r="X49" s="318">
        <f>'Mode Operating Assumptions'!V29</f>
        <v>0.41115507677183999</v>
      </c>
      <c r="Y49" s="318">
        <f>'Mode Operating Assumptions'!W29</f>
        <v>0.41235233614629774</v>
      </c>
      <c r="Z49" s="318">
        <f>'Mode Operating Assumptions'!X29</f>
        <v>0.41355837275626389</v>
      </c>
      <c r="AA49" s="318">
        <f>'Mode Operating Assumptions'!Y29</f>
        <v>0.41477328347710757</v>
      </c>
      <c r="AB49" s="318">
        <f>'Mode Operating Assumptions'!Z29</f>
        <v>0.415997166615095</v>
      </c>
      <c r="AC49" s="321">
        <f>'Mode Operating Assumptions'!AA29</f>
        <v>0.41723012193390652</v>
      </c>
      <c r="AD49" s="368">
        <f t="shared" si="0"/>
        <v>9.6905878298649686</v>
      </c>
    </row>
    <row r="50" spans="1:30" s="53" customFormat="1" ht="12">
      <c r="A50" s="44"/>
      <c r="B50" s="70"/>
      <c r="C50" s="243" t="s">
        <v>420</v>
      </c>
      <c r="D50" s="273">
        <f>'Mode Operating Assumptions'!C152</f>
        <v>0.38127571701364549</v>
      </c>
      <c r="E50" s="236"/>
      <c r="F50" s="45"/>
      <c r="G50" s="45"/>
      <c r="H50" s="45"/>
      <c r="I50" s="45"/>
      <c r="J50" s="45"/>
      <c r="K50" s="45"/>
      <c r="L50" s="45"/>
      <c r="M50" s="45"/>
      <c r="N50" s="45"/>
      <c r="O50" s="45"/>
      <c r="P50" s="45"/>
      <c r="Q50" s="45"/>
      <c r="R50" s="45"/>
      <c r="S50" s="45"/>
      <c r="T50" s="45"/>
      <c r="U50" s="45"/>
      <c r="V50" s="45"/>
      <c r="W50" s="45"/>
      <c r="X50" s="45"/>
      <c r="Y50" s="45"/>
      <c r="Z50" s="45"/>
      <c r="AA50" s="45"/>
      <c r="AB50" s="45"/>
      <c r="AC50" s="283"/>
      <c r="AD50" s="361">
        <f t="shared" si="0"/>
        <v>0</v>
      </c>
    </row>
    <row r="51" spans="1:30" s="53" customFormat="1" ht="12">
      <c r="A51" s="44"/>
      <c r="B51" s="70"/>
      <c r="C51" s="243" t="s">
        <v>421</v>
      </c>
      <c r="D51" s="273">
        <f>'Mode Operating Assumptions'!C52</f>
        <v>0.234375</v>
      </c>
      <c r="E51" s="236"/>
      <c r="F51" s="45"/>
      <c r="G51" s="45"/>
      <c r="H51" s="45"/>
      <c r="I51" s="45"/>
      <c r="J51" s="45"/>
      <c r="K51" s="45"/>
      <c r="L51" s="45"/>
      <c r="M51" s="45"/>
      <c r="N51" s="45"/>
      <c r="O51" s="45"/>
      <c r="P51" s="45"/>
      <c r="Q51" s="45"/>
      <c r="R51" s="45"/>
      <c r="S51" s="45"/>
      <c r="T51" s="45"/>
      <c r="U51" s="45"/>
      <c r="V51" s="45"/>
      <c r="W51" s="45"/>
      <c r="X51" s="45"/>
      <c r="Y51" s="45"/>
      <c r="Z51" s="45"/>
      <c r="AA51" s="45"/>
      <c r="AB51" s="45"/>
      <c r="AC51" s="283"/>
      <c r="AD51" s="361">
        <f t="shared" si="0"/>
        <v>0</v>
      </c>
    </row>
    <row r="52" spans="1:30" s="53" customFormat="1" ht="12">
      <c r="A52" s="44"/>
      <c r="C52" s="243" t="s">
        <v>400</v>
      </c>
      <c r="D52" s="273">
        <v>13.91</v>
      </c>
      <c r="E52" s="236"/>
      <c r="F52" s="45"/>
      <c r="G52" s="45"/>
      <c r="H52" s="45"/>
      <c r="I52" s="45"/>
      <c r="J52" s="45"/>
      <c r="K52" s="45"/>
      <c r="L52" s="45"/>
      <c r="M52" s="45"/>
      <c r="N52" s="45"/>
      <c r="O52" s="45"/>
      <c r="P52" s="45"/>
      <c r="Q52" s="45"/>
      <c r="R52" s="45"/>
      <c r="S52" s="45"/>
      <c r="T52" s="45"/>
      <c r="U52" s="45"/>
      <c r="V52" s="45"/>
      <c r="W52" s="45"/>
      <c r="X52" s="45"/>
      <c r="Y52" s="45"/>
      <c r="Z52" s="45"/>
      <c r="AA52" s="45"/>
      <c r="AB52" s="45"/>
      <c r="AC52" s="283"/>
      <c r="AD52" s="361">
        <f t="shared" si="0"/>
        <v>0</v>
      </c>
    </row>
    <row r="53" spans="1:30" s="53" customFormat="1" ht="12">
      <c r="A53" s="44"/>
      <c r="B53" s="70"/>
      <c r="C53" s="243" t="s">
        <v>401</v>
      </c>
      <c r="D53" s="273">
        <v>13.91</v>
      </c>
      <c r="E53" s="236"/>
      <c r="F53" s="45"/>
      <c r="G53" s="45"/>
      <c r="H53" s="45"/>
      <c r="I53" s="45"/>
      <c r="J53" s="45"/>
      <c r="K53" s="45"/>
      <c r="L53" s="45"/>
      <c r="M53" s="45"/>
      <c r="N53" s="45"/>
      <c r="O53" s="45"/>
      <c r="P53" s="45"/>
      <c r="Q53" s="45"/>
      <c r="R53" s="45"/>
      <c r="S53" s="45"/>
      <c r="T53" s="45"/>
      <c r="U53" s="45"/>
      <c r="V53" s="45"/>
      <c r="W53" s="45"/>
      <c r="X53" s="45"/>
      <c r="Y53" s="45"/>
      <c r="Z53" s="45"/>
      <c r="AA53" s="45"/>
      <c r="AB53" s="45"/>
      <c r="AC53" s="283"/>
      <c r="AD53" s="361">
        <f t="shared" si="0"/>
        <v>0</v>
      </c>
    </row>
    <row r="54" spans="1:30" s="53" customFormat="1" ht="12">
      <c r="A54" s="44"/>
      <c r="B54" s="70"/>
      <c r="C54" s="243" t="s">
        <v>419</v>
      </c>
      <c r="D54" s="273">
        <f>D44</f>
        <v>26.21</v>
      </c>
      <c r="E54" s="236"/>
      <c r="F54" s="45"/>
      <c r="G54" s="45"/>
      <c r="H54" s="45"/>
      <c r="I54" s="45"/>
      <c r="J54" s="45"/>
      <c r="K54" s="45"/>
      <c r="L54" s="45"/>
      <c r="M54" s="45"/>
      <c r="N54" s="45"/>
      <c r="O54" s="45"/>
      <c r="P54" s="45"/>
      <c r="Q54" s="45"/>
      <c r="R54" s="45"/>
      <c r="S54" s="45"/>
      <c r="T54" s="45"/>
      <c r="U54" s="45"/>
      <c r="V54" s="45"/>
      <c r="W54" s="45"/>
      <c r="X54" s="45"/>
      <c r="Y54" s="45"/>
      <c r="Z54" s="45"/>
      <c r="AA54" s="45"/>
      <c r="AB54" s="45"/>
      <c r="AC54" s="283"/>
      <c r="AD54" s="361">
        <f t="shared" si="0"/>
        <v>0</v>
      </c>
    </row>
    <row r="55" spans="1:30" s="53" customFormat="1" ht="12">
      <c r="A55" s="44"/>
      <c r="B55" s="70"/>
      <c r="C55" s="78" t="s">
        <v>416</v>
      </c>
      <c r="D55" s="273"/>
      <c r="E55" s="236"/>
      <c r="F55" s="275">
        <f>+(F49*$D$52)-($D$50*$D$53)-($D$51*$D$54)</f>
        <v>-6.0076650554081157</v>
      </c>
      <c r="G55" s="275">
        <f>+(G49*$D$52)-($D$50*$D$53)-($D$51*$D$54)</f>
        <v>-5.9929990728725828</v>
      </c>
      <c r="H55" s="275">
        <f t="shared" ref="H55:AC55" si="3">+(H49*$D$52)-($D$50*$D$53)-($D$51*$D$54)</f>
        <v>-5.9782322273953099</v>
      </c>
      <c r="I55" s="275">
        <f t="shared" si="3"/>
        <v>-5.9633634748829563</v>
      </c>
      <c r="J55" s="275">
        <f t="shared" si="3"/>
        <v>-5.9483917567815627</v>
      </c>
      <c r="K55" s="275">
        <f t="shared" si="3"/>
        <v>-5.9333159998253358</v>
      </c>
      <c r="L55" s="275">
        <f t="shared" si="3"/>
        <v>-5.9181351157801645</v>
      </c>
      <c r="M55" s="275">
        <f t="shared" si="3"/>
        <v>-5.9028480011817726</v>
      </c>
      <c r="N55" s="275">
        <f t="shared" si="3"/>
        <v>-5.8874535370683425</v>
      </c>
      <c r="O55" s="275">
        <f t="shared" si="3"/>
        <v>-5.8719505887074863</v>
      </c>
      <c r="P55" s="275">
        <f t="shared" si="3"/>
        <v>-5.8563380053174274</v>
      </c>
      <c r="Q55" s="275">
        <f t="shared" si="3"/>
        <v>-5.8406146197822455</v>
      </c>
      <c r="R55" s="275">
        <f t="shared" si="3"/>
        <v>-5.8247792483610379</v>
      </c>
      <c r="S55" s="275">
        <f t="shared" si="3"/>
        <v>-5.8088306903908418</v>
      </c>
      <c r="T55" s="275">
        <f t="shared" si="3"/>
        <v>-5.7927677279831675</v>
      </c>
      <c r="U55" s="275">
        <f t="shared" si="3"/>
        <v>-5.7765891257139694</v>
      </c>
      <c r="V55" s="275">
        <f t="shared" si="3"/>
        <v>-5.7602936303069114</v>
      </c>
      <c r="W55" s="275">
        <f t="shared" si="3"/>
        <v>-5.7438799703097256</v>
      </c>
      <c r="X55" s="275">
        <f t="shared" si="3"/>
        <v>-5.727346855763515</v>
      </c>
      <c r="Y55" s="275">
        <f t="shared" si="3"/>
        <v>-5.7106929778648077</v>
      </c>
      <c r="Z55" s="275">
        <f t="shared" si="3"/>
        <v>-5.6939170086201782</v>
      </c>
      <c r="AA55" s="275">
        <f t="shared" si="3"/>
        <v>-5.6770176004932429</v>
      </c>
      <c r="AB55" s="275">
        <f t="shared" si="3"/>
        <v>-5.6599933860438378</v>
      </c>
      <c r="AC55" s="288">
        <f t="shared" si="3"/>
        <v>-5.6428429775591695</v>
      </c>
      <c r="AD55" s="369">
        <f t="shared" si="0"/>
        <v>-139.92025865441371</v>
      </c>
    </row>
    <row r="56" spans="1:30" s="53" customFormat="1" ht="12">
      <c r="A56" s="44"/>
      <c r="B56" s="70"/>
      <c r="D56" s="273"/>
      <c r="E56" s="236"/>
      <c r="F56" s="275">
        <f>F55*F47</f>
        <v>0</v>
      </c>
      <c r="G56" s="275">
        <f t="shared" ref="G56:AC56" si="4">G55*G47</f>
        <v>0</v>
      </c>
      <c r="H56" s="275">
        <f t="shared" si="4"/>
        <v>-40808.594323861354</v>
      </c>
      <c r="I56" s="275">
        <f t="shared" si="4"/>
        <v>-41084.03207244684</v>
      </c>
      <c r="J56" s="275">
        <f t="shared" si="4"/>
        <v>-41356.87428024751</v>
      </c>
      <c r="K56" s="275">
        <f t="shared" si="4"/>
        <v>-41627.093892543708</v>
      </c>
      <c r="L56" s="275">
        <f t="shared" si="4"/>
        <v>-41894.663477296839</v>
      </c>
      <c r="M56" s="275">
        <f t="shared" si="4"/>
        <v>-42159.555218548565</v>
      </c>
      <c r="N56" s="275">
        <f t="shared" si="4"/>
        <v>-42421.740909680899</v>
      </c>
      <c r="O56" s="275">
        <f t="shared" si="4"/>
        <v>-42200.872947066986</v>
      </c>
      <c r="P56" s="275">
        <f t="shared" si="4"/>
        <v>-41979.795505208567</v>
      </c>
      <c r="Q56" s="275">
        <f t="shared" si="4"/>
        <v>-41758.506354101562</v>
      </c>
      <c r="R56" s="275">
        <f t="shared" si="4"/>
        <v>-41537.003231976632</v>
      </c>
      <c r="S56" s="275">
        <f t="shared" si="4"/>
        <v>-41315.28384473145</v>
      </c>
      <c r="T56" s="275">
        <f t="shared" si="4"/>
        <v>-41093.345865351053</v>
      </c>
      <c r="U56" s="275">
        <f t="shared" si="4"/>
        <v>-40871.186933315235</v>
      </c>
      <c r="V56" s="275">
        <f t="shared" si="4"/>
        <v>-40648.804653993553</v>
      </c>
      <c r="W56" s="275">
        <f t="shared" si="4"/>
        <v>-40426.196598026887</v>
      </c>
      <c r="X56" s="275">
        <f t="shared" si="4"/>
        <v>-40203.360300695516</v>
      </c>
      <c r="Y56" s="275">
        <f t="shared" si="4"/>
        <v>-39980.293261273524</v>
      </c>
      <c r="Z56" s="275">
        <f t="shared" si="4"/>
        <v>-39756.992942368764</v>
      </c>
      <c r="AA56" s="275">
        <f t="shared" si="4"/>
        <v>-39533.456769248463</v>
      </c>
      <c r="AB56" s="275">
        <f t="shared" si="4"/>
        <v>-39309.682129149754</v>
      </c>
      <c r="AC56" s="288">
        <f t="shared" si="4"/>
        <v>-39085.666370574938</v>
      </c>
      <c r="AD56" s="369">
        <f t="shared" ref="AD56:AD92" si="5">SUM(F56:AC56)</f>
        <v>-901053.00188170874</v>
      </c>
    </row>
    <row r="57" spans="1:30" s="53" customFormat="1" ht="12">
      <c r="A57" s="44"/>
      <c r="B57" s="70"/>
      <c r="C57" s="62" t="s">
        <v>429</v>
      </c>
      <c r="D57" s="229"/>
      <c r="E57" s="236"/>
      <c r="F57" s="309">
        <f>F56</f>
        <v>0</v>
      </c>
      <c r="G57" s="309">
        <f t="shared" ref="G57:AC57" si="6">G56</f>
        <v>0</v>
      </c>
      <c r="H57" s="309">
        <f t="shared" si="6"/>
        <v>-40808.594323861354</v>
      </c>
      <c r="I57" s="309">
        <f t="shared" si="6"/>
        <v>-41084.03207244684</v>
      </c>
      <c r="J57" s="309">
        <f t="shared" si="6"/>
        <v>-41356.87428024751</v>
      </c>
      <c r="K57" s="309">
        <f t="shared" si="6"/>
        <v>-41627.093892543708</v>
      </c>
      <c r="L57" s="309">
        <f t="shared" si="6"/>
        <v>-41894.663477296839</v>
      </c>
      <c r="M57" s="309">
        <f t="shared" si="6"/>
        <v>-42159.555218548565</v>
      </c>
      <c r="N57" s="309">
        <f t="shared" si="6"/>
        <v>-42421.740909680899</v>
      </c>
      <c r="O57" s="309">
        <f t="shared" si="6"/>
        <v>-42200.872947066986</v>
      </c>
      <c r="P57" s="309">
        <f t="shared" si="6"/>
        <v>-41979.795505208567</v>
      </c>
      <c r="Q57" s="309">
        <f t="shared" si="6"/>
        <v>-41758.506354101562</v>
      </c>
      <c r="R57" s="309">
        <f t="shared" si="6"/>
        <v>-41537.003231976632</v>
      </c>
      <c r="S57" s="309">
        <f t="shared" si="6"/>
        <v>-41315.28384473145</v>
      </c>
      <c r="T57" s="309">
        <f t="shared" si="6"/>
        <v>-41093.345865351053</v>
      </c>
      <c r="U57" s="309">
        <f t="shared" si="6"/>
        <v>-40871.186933315235</v>
      </c>
      <c r="V57" s="309">
        <f t="shared" si="6"/>
        <v>-40648.804653993553</v>
      </c>
      <c r="W57" s="309">
        <f t="shared" si="6"/>
        <v>-40426.196598026887</v>
      </c>
      <c r="X57" s="309">
        <f t="shared" si="6"/>
        <v>-40203.360300695516</v>
      </c>
      <c r="Y57" s="309">
        <f t="shared" si="6"/>
        <v>-39980.293261273524</v>
      </c>
      <c r="Z57" s="309">
        <f t="shared" si="6"/>
        <v>-39756.992942368764</v>
      </c>
      <c r="AA57" s="309">
        <f t="shared" si="6"/>
        <v>-39533.456769248463</v>
      </c>
      <c r="AB57" s="309">
        <f t="shared" si="6"/>
        <v>-39309.682129149754</v>
      </c>
      <c r="AC57" s="340">
        <f t="shared" si="6"/>
        <v>-39085.666370574938</v>
      </c>
      <c r="AD57" s="370">
        <f t="shared" si="5"/>
        <v>-901053.00188170874</v>
      </c>
    </row>
    <row r="58" spans="1:30" s="53" customFormat="1" ht="12">
      <c r="A58" s="44"/>
      <c r="B58" s="70"/>
      <c r="D58" s="229"/>
      <c r="E58" s="236"/>
      <c r="F58" s="252"/>
      <c r="G58" s="252"/>
      <c r="H58" s="252"/>
      <c r="I58" s="252"/>
      <c r="J58" s="252"/>
      <c r="K58" s="252"/>
      <c r="L58" s="252"/>
      <c r="M58" s="252"/>
      <c r="N58" s="252"/>
      <c r="O58" s="252"/>
      <c r="P58" s="252"/>
      <c r="Q58" s="252"/>
      <c r="R58" s="252"/>
      <c r="S58" s="252"/>
      <c r="T58" s="252"/>
      <c r="U58" s="252"/>
      <c r="V58" s="252"/>
      <c r="W58" s="252"/>
      <c r="X58" s="252"/>
      <c r="Y58" s="252"/>
      <c r="Z58" s="252"/>
      <c r="AA58" s="252"/>
      <c r="AB58" s="252"/>
      <c r="AC58" s="286"/>
      <c r="AD58" s="371">
        <f t="shared" si="5"/>
        <v>0</v>
      </c>
    </row>
    <row r="59" spans="1:30" s="53" customFormat="1" ht="12">
      <c r="A59" s="44"/>
      <c r="B59" s="70"/>
      <c r="C59" s="63" t="s">
        <v>149</v>
      </c>
      <c r="D59" s="229"/>
      <c r="E59" s="236"/>
      <c r="F59" s="252"/>
      <c r="G59" s="252"/>
      <c r="H59" s="252"/>
      <c r="I59" s="252"/>
      <c r="J59" s="252"/>
      <c r="K59" s="252"/>
      <c r="L59" s="252"/>
      <c r="M59" s="252"/>
      <c r="N59" s="252"/>
      <c r="O59" s="252"/>
      <c r="P59" s="252"/>
      <c r="Q59" s="252"/>
      <c r="R59" s="252"/>
      <c r="S59" s="252"/>
      <c r="T59" s="252"/>
      <c r="U59" s="252"/>
      <c r="V59" s="252"/>
      <c r="W59" s="252"/>
      <c r="X59" s="252"/>
      <c r="Y59" s="252"/>
      <c r="Z59" s="252"/>
      <c r="AA59" s="252"/>
      <c r="AB59" s="252"/>
      <c r="AC59" s="286"/>
      <c r="AD59" s="371">
        <f t="shared" si="5"/>
        <v>0</v>
      </c>
    </row>
    <row r="60" spans="1:30" s="53" customFormat="1" ht="12">
      <c r="A60" s="44"/>
      <c r="B60" s="70"/>
      <c r="C60" s="243" t="s">
        <v>488</v>
      </c>
      <c r="D60" s="273">
        <f>'Mode Operating Assumptions'!C33</f>
        <v>8.1905000000000001</v>
      </c>
      <c r="E60" s="236"/>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86"/>
      <c r="AD60" s="371">
        <f t="shared" si="5"/>
        <v>0</v>
      </c>
    </row>
    <row r="61" spans="1:30" s="53" customFormat="1" ht="12">
      <c r="A61" s="44"/>
      <c r="B61" s="70"/>
      <c r="C61" s="244" t="s">
        <v>477</v>
      </c>
      <c r="D61" s="273">
        <f>'Mode Operating Assumptions'!C155</f>
        <v>2.107407271835358</v>
      </c>
      <c r="E61" s="236"/>
      <c r="F61" s="252"/>
      <c r="G61" s="252"/>
      <c r="H61" s="252"/>
      <c r="I61" s="252"/>
      <c r="J61" s="252"/>
      <c r="K61" s="252"/>
      <c r="L61" s="252"/>
      <c r="M61" s="252"/>
      <c r="N61" s="252"/>
      <c r="O61" s="252"/>
      <c r="P61" s="252"/>
      <c r="Q61" s="252"/>
      <c r="R61" s="252"/>
      <c r="S61" s="252"/>
      <c r="T61" s="252"/>
      <c r="U61" s="252"/>
      <c r="V61" s="252"/>
      <c r="W61" s="252"/>
      <c r="X61" s="252"/>
      <c r="Y61" s="252"/>
      <c r="Z61" s="252"/>
      <c r="AA61" s="252"/>
      <c r="AB61" s="252"/>
      <c r="AC61" s="286"/>
      <c r="AD61" s="371">
        <f t="shared" si="5"/>
        <v>0</v>
      </c>
    </row>
    <row r="62" spans="1:30" s="53" customFormat="1" ht="12">
      <c r="A62" s="44"/>
      <c r="B62" s="70"/>
      <c r="C62" s="243" t="s">
        <v>489</v>
      </c>
      <c r="D62" s="273">
        <v>0.05</v>
      </c>
      <c r="E62" s="236"/>
      <c r="F62" s="252"/>
      <c r="G62" s="252"/>
      <c r="H62" s="252"/>
      <c r="I62" s="252"/>
      <c r="J62" s="252"/>
      <c r="K62" s="252"/>
      <c r="L62" s="252"/>
      <c r="M62" s="252"/>
      <c r="N62" s="252"/>
      <c r="O62" s="252"/>
      <c r="P62" s="252"/>
      <c r="Q62" s="252"/>
      <c r="R62" s="252"/>
      <c r="S62" s="252"/>
      <c r="T62" s="252"/>
      <c r="U62" s="252"/>
      <c r="V62" s="252"/>
      <c r="W62" s="252"/>
      <c r="X62" s="252"/>
      <c r="Y62" s="252"/>
      <c r="Z62" s="252"/>
      <c r="AA62" s="252"/>
      <c r="AB62" s="252"/>
      <c r="AC62" s="286"/>
      <c r="AD62" s="371">
        <f t="shared" si="5"/>
        <v>0</v>
      </c>
    </row>
    <row r="63" spans="1:30" s="53" customFormat="1" ht="12">
      <c r="A63" s="44"/>
      <c r="B63" s="70"/>
      <c r="C63" s="78" t="s">
        <v>490</v>
      </c>
      <c r="D63" s="273">
        <f>+D60-D61-D62</f>
        <v>6.0330927281646423</v>
      </c>
      <c r="E63" s="236"/>
      <c r="F63" s="275">
        <f t="shared" ref="F63:AC63" si="7">$D63*F47</f>
        <v>0</v>
      </c>
      <c r="G63" s="275">
        <f t="shared" si="7"/>
        <v>0</v>
      </c>
      <c r="H63" s="275">
        <f t="shared" si="7"/>
        <v>41183.082941088418</v>
      </c>
      <c r="I63" s="275">
        <f t="shared" si="7"/>
        <v>41564.425208011795</v>
      </c>
      <c r="J63" s="275">
        <f t="shared" si="7"/>
        <v>41945.767474935172</v>
      </c>
      <c r="K63" s="275">
        <f t="shared" si="7"/>
        <v>42327.109741858556</v>
      </c>
      <c r="L63" s="275">
        <f t="shared" si="7"/>
        <v>42708.452008781955</v>
      </c>
      <c r="M63" s="275">
        <f t="shared" si="7"/>
        <v>43089.794275705339</v>
      </c>
      <c r="N63" s="275">
        <f t="shared" si="7"/>
        <v>43471.136542628723</v>
      </c>
      <c r="O63" s="275">
        <f t="shared" si="7"/>
        <v>43358.978563065852</v>
      </c>
      <c r="P63" s="275">
        <f t="shared" si="7"/>
        <v>43246.820583502988</v>
      </c>
      <c r="Q63" s="275">
        <f t="shared" si="7"/>
        <v>43134.662603940116</v>
      </c>
      <c r="R63" s="275">
        <f t="shared" si="7"/>
        <v>43022.504624377259</v>
      </c>
      <c r="S63" s="275">
        <f t="shared" si="7"/>
        <v>42910.346644814374</v>
      </c>
      <c r="T63" s="275">
        <f t="shared" si="7"/>
        <v>42798.188665251517</v>
      </c>
      <c r="U63" s="275">
        <f t="shared" si="7"/>
        <v>42686.030685688653</v>
      </c>
      <c r="V63" s="275">
        <f t="shared" si="7"/>
        <v>42573.872706125781</v>
      </c>
      <c r="W63" s="275">
        <f t="shared" si="7"/>
        <v>42461.71472656291</v>
      </c>
      <c r="X63" s="275">
        <f t="shared" si="7"/>
        <v>42349.556747000031</v>
      </c>
      <c r="Y63" s="275">
        <f t="shared" si="7"/>
        <v>42237.398767437175</v>
      </c>
      <c r="Z63" s="275">
        <f t="shared" si="7"/>
        <v>42125.240787874311</v>
      </c>
      <c r="AA63" s="275">
        <f t="shared" si="7"/>
        <v>42013.082808311439</v>
      </c>
      <c r="AB63" s="275">
        <f t="shared" si="7"/>
        <v>41900.924828748575</v>
      </c>
      <c r="AC63" s="288">
        <f t="shared" si="7"/>
        <v>41788.766849185704</v>
      </c>
      <c r="AD63" s="369">
        <f t="shared" si="5"/>
        <v>934897.85878489667</v>
      </c>
    </row>
    <row r="64" spans="1:30" s="53" customFormat="1" ht="12">
      <c r="A64" s="44"/>
      <c r="B64" s="70"/>
      <c r="C64" s="62" t="s">
        <v>430</v>
      </c>
      <c r="D64" s="229"/>
      <c r="E64" s="236"/>
      <c r="F64" s="309">
        <f>F63</f>
        <v>0</v>
      </c>
      <c r="G64" s="309">
        <f t="shared" ref="G64:AC64" si="8">G63</f>
        <v>0</v>
      </c>
      <c r="H64" s="309">
        <f t="shared" si="8"/>
        <v>41183.082941088418</v>
      </c>
      <c r="I64" s="309">
        <f t="shared" si="8"/>
        <v>41564.425208011795</v>
      </c>
      <c r="J64" s="309">
        <f t="shared" si="8"/>
        <v>41945.767474935172</v>
      </c>
      <c r="K64" s="309">
        <f t="shared" si="8"/>
        <v>42327.109741858556</v>
      </c>
      <c r="L64" s="309">
        <f t="shared" si="8"/>
        <v>42708.452008781955</v>
      </c>
      <c r="M64" s="309">
        <f t="shared" si="8"/>
        <v>43089.794275705339</v>
      </c>
      <c r="N64" s="309">
        <f t="shared" si="8"/>
        <v>43471.136542628723</v>
      </c>
      <c r="O64" s="309">
        <f t="shared" si="8"/>
        <v>43358.978563065852</v>
      </c>
      <c r="P64" s="309">
        <f t="shared" si="8"/>
        <v>43246.820583502988</v>
      </c>
      <c r="Q64" s="309">
        <f t="shared" si="8"/>
        <v>43134.662603940116</v>
      </c>
      <c r="R64" s="309">
        <f t="shared" si="8"/>
        <v>43022.504624377259</v>
      </c>
      <c r="S64" s="309">
        <f t="shared" si="8"/>
        <v>42910.346644814374</v>
      </c>
      <c r="T64" s="309">
        <f t="shared" si="8"/>
        <v>42798.188665251517</v>
      </c>
      <c r="U64" s="309">
        <f t="shared" si="8"/>
        <v>42686.030685688653</v>
      </c>
      <c r="V64" s="309">
        <f t="shared" si="8"/>
        <v>42573.872706125781</v>
      </c>
      <c r="W64" s="309">
        <f t="shared" si="8"/>
        <v>42461.71472656291</v>
      </c>
      <c r="X64" s="309">
        <f t="shared" si="8"/>
        <v>42349.556747000031</v>
      </c>
      <c r="Y64" s="309">
        <f t="shared" si="8"/>
        <v>42237.398767437175</v>
      </c>
      <c r="Z64" s="309">
        <f t="shared" si="8"/>
        <v>42125.240787874311</v>
      </c>
      <c r="AA64" s="309">
        <f t="shared" si="8"/>
        <v>42013.082808311439</v>
      </c>
      <c r="AB64" s="309">
        <f t="shared" si="8"/>
        <v>41900.924828748575</v>
      </c>
      <c r="AC64" s="340">
        <f t="shared" si="8"/>
        <v>41788.766849185704</v>
      </c>
      <c r="AD64" s="370">
        <f t="shared" si="5"/>
        <v>934897.85878489667</v>
      </c>
    </row>
    <row r="65" spans="1:30" s="53" customFormat="1" ht="12">
      <c r="A65" s="44"/>
      <c r="B65" s="70"/>
      <c r="C65" s="110"/>
      <c r="D65" s="229"/>
      <c r="E65" s="236"/>
      <c r="F65" s="45"/>
      <c r="G65" s="62"/>
      <c r="H65" s="59"/>
      <c r="I65" s="59"/>
      <c r="J65" s="59"/>
      <c r="K65" s="59"/>
      <c r="L65" s="59"/>
      <c r="M65" s="59"/>
      <c r="N65" s="59"/>
      <c r="O65" s="59"/>
      <c r="P65" s="59"/>
      <c r="Q65" s="59"/>
      <c r="R65" s="59"/>
      <c r="S65" s="59"/>
      <c r="T65" s="59"/>
      <c r="U65" s="59"/>
      <c r="V65" s="59"/>
      <c r="W65" s="59"/>
      <c r="X65" s="59"/>
      <c r="Y65" s="59"/>
      <c r="AC65" s="283"/>
      <c r="AD65" s="361">
        <f t="shared" si="5"/>
        <v>0</v>
      </c>
    </row>
    <row r="66" spans="1:30" s="53" customFormat="1" ht="12">
      <c r="A66" s="44"/>
      <c r="B66" s="5" t="s">
        <v>277</v>
      </c>
      <c r="C66" s="55"/>
      <c r="D66" s="229"/>
      <c r="E66" s="236"/>
      <c r="F66" s="45"/>
      <c r="G66" s="59"/>
      <c r="H66" s="59"/>
      <c r="I66" s="59"/>
      <c r="J66" s="59"/>
      <c r="K66" s="59"/>
      <c r="L66" s="59"/>
      <c r="M66" s="59"/>
      <c r="N66" s="59"/>
      <c r="O66" s="59"/>
      <c r="P66" s="59"/>
      <c r="Q66" s="59"/>
      <c r="R66" s="59"/>
      <c r="S66" s="59"/>
      <c r="T66" s="59"/>
      <c r="U66" s="59"/>
      <c r="V66" s="59"/>
      <c r="W66" s="59"/>
      <c r="X66" s="59"/>
      <c r="Y66" s="59"/>
      <c r="AC66" s="283"/>
      <c r="AD66" s="361">
        <f t="shared" si="5"/>
        <v>0</v>
      </c>
    </row>
    <row r="67" spans="1:30" s="53" customFormat="1" ht="12">
      <c r="A67" s="44"/>
      <c r="B67" s="70" t="s">
        <v>463</v>
      </c>
      <c r="C67" s="70" t="s">
        <v>366</v>
      </c>
      <c r="D67" s="229"/>
      <c r="E67" s="236"/>
      <c r="F67" s="45"/>
      <c r="G67" s="59"/>
      <c r="H67" s="59"/>
      <c r="I67" s="59"/>
      <c r="J67" s="59"/>
      <c r="K67" s="59"/>
      <c r="L67" s="59"/>
      <c r="M67" s="59"/>
      <c r="N67" s="59"/>
      <c r="O67" s="59"/>
      <c r="P67" s="59"/>
      <c r="Q67" s="59"/>
      <c r="R67" s="59"/>
      <c r="S67" s="59"/>
      <c r="T67" s="59"/>
      <c r="U67" s="59"/>
      <c r="V67" s="59"/>
      <c r="W67" s="59"/>
      <c r="X67" s="59"/>
      <c r="Y67" s="59"/>
      <c r="AC67" s="283"/>
      <c r="AD67" s="361">
        <f t="shared" si="5"/>
        <v>0</v>
      </c>
    </row>
    <row r="68" spans="1:30" s="53" customFormat="1" ht="12">
      <c r="A68" s="44"/>
      <c r="C68" s="63" t="s">
        <v>131</v>
      </c>
      <c r="D68" s="229"/>
      <c r="E68" s="236"/>
      <c r="F68" s="45"/>
      <c r="G68" s="59"/>
      <c r="H68" s="59"/>
      <c r="I68" s="59"/>
      <c r="J68" s="59"/>
      <c r="K68" s="59"/>
      <c r="L68" s="59"/>
      <c r="M68" s="59"/>
      <c r="N68" s="59"/>
      <c r="O68" s="59"/>
      <c r="P68" s="59"/>
      <c r="Q68" s="59"/>
      <c r="R68" s="59"/>
      <c r="S68" s="59"/>
      <c r="T68" s="59"/>
      <c r="U68" s="59"/>
      <c r="V68" s="59"/>
      <c r="W68" s="59"/>
      <c r="X68" s="59"/>
      <c r="Y68" s="59"/>
      <c r="AC68" s="283"/>
      <c r="AD68" s="361">
        <f t="shared" si="5"/>
        <v>0</v>
      </c>
    </row>
    <row r="69" spans="1:30" s="53" customFormat="1" ht="12">
      <c r="A69" s="44"/>
      <c r="B69" s="70"/>
      <c r="C69" s="245" t="s">
        <v>625</v>
      </c>
      <c r="D69" s="267">
        <f>20/3600</f>
        <v>5.5555555555555558E-3</v>
      </c>
      <c r="E69" s="236"/>
      <c r="F69" s="45"/>
      <c r="G69" s="59"/>
      <c r="H69" s="59"/>
      <c r="I69" s="59"/>
      <c r="J69" s="59"/>
      <c r="K69" s="59"/>
      <c r="L69" s="59"/>
      <c r="M69" s="59"/>
      <c r="N69" s="59"/>
      <c r="O69" s="59"/>
      <c r="P69" s="59"/>
      <c r="Q69" s="59"/>
      <c r="R69" s="59"/>
      <c r="S69" s="59"/>
      <c r="T69" s="59"/>
      <c r="U69" s="59"/>
      <c r="V69" s="59"/>
      <c r="W69" s="59"/>
      <c r="X69" s="59"/>
      <c r="Y69" s="59"/>
      <c r="AC69" s="283"/>
      <c r="AD69" s="361">
        <f t="shared" si="5"/>
        <v>0</v>
      </c>
    </row>
    <row r="70" spans="1:30" s="53" customFormat="1" ht="12">
      <c r="A70" s="44"/>
      <c r="B70" s="70"/>
      <c r="C70" s="243" t="s">
        <v>438</v>
      </c>
      <c r="D70" s="242">
        <f>'Price Assumptions'!$B$3</f>
        <v>13.91</v>
      </c>
      <c r="E70" s="236"/>
      <c r="F70" s="45"/>
      <c r="G70" s="59"/>
      <c r="H70" s="59"/>
      <c r="I70" s="59"/>
      <c r="J70" s="59"/>
      <c r="K70" s="59"/>
      <c r="L70" s="59"/>
      <c r="M70" s="59"/>
      <c r="N70" s="59"/>
      <c r="O70" s="59"/>
      <c r="P70" s="59"/>
      <c r="Q70" s="59"/>
      <c r="R70" s="59"/>
      <c r="S70" s="59"/>
      <c r="T70" s="59"/>
      <c r="U70" s="59"/>
      <c r="V70" s="59"/>
      <c r="W70" s="59"/>
      <c r="X70" s="59"/>
      <c r="Y70" s="59"/>
      <c r="AC70" s="283"/>
      <c r="AD70" s="361">
        <f t="shared" si="5"/>
        <v>0</v>
      </c>
    </row>
    <row r="71" spans="1:30" s="53" customFormat="1" ht="12">
      <c r="A71" s="44"/>
      <c r="B71" s="70"/>
      <c r="C71" s="62" t="s">
        <v>429</v>
      </c>
      <c r="D71" s="229"/>
      <c r="E71" s="236"/>
      <c r="F71" s="305">
        <f>($D$69)*$D$70*F15</f>
        <v>0</v>
      </c>
      <c r="G71" s="305">
        <f t="shared" ref="G71:AC71" si="9">($D$69)*$D$70*G15</f>
        <v>0</v>
      </c>
      <c r="H71" s="305">
        <f t="shared" si="9"/>
        <v>333.03076291265631</v>
      </c>
      <c r="I71" s="305">
        <f t="shared" si="9"/>
        <v>336.11452199562751</v>
      </c>
      <c r="J71" s="305">
        <f t="shared" si="9"/>
        <v>339.19828107859865</v>
      </c>
      <c r="K71" s="305">
        <f t="shared" si="9"/>
        <v>342.28204016156985</v>
      </c>
      <c r="L71" s="305">
        <f t="shared" si="9"/>
        <v>345.36579924454099</v>
      </c>
      <c r="M71" s="305">
        <f t="shared" si="9"/>
        <v>348.44955832751214</v>
      </c>
      <c r="N71" s="305">
        <f t="shared" si="9"/>
        <v>351.53331741048333</v>
      </c>
      <c r="O71" s="305">
        <f t="shared" si="9"/>
        <v>350.6263416613877</v>
      </c>
      <c r="P71" s="305">
        <f t="shared" si="9"/>
        <v>349.71936591229195</v>
      </c>
      <c r="Q71" s="305">
        <f t="shared" si="9"/>
        <v>348.81239016319626</v>
      </c>
      <c r="R71" s="305">
        <f t="shared" si="9"/>
        <v>347.90541441410062</v>
      </c>
      <c r="S71" s="305">
        <f t="shared" si="9"/>
        <v>346.99843866500487</v>
      </c>
      <c r="T71" s="305">
        <f t="shared" si="9"/>
        <v>346.09146291590923</v>
      </c>
      <c r="U71" s="305">
        <f t="shared" si="9"/>
        <v>345.18448716681354</v>
      </c>
      <c r="V71" s="305">
        <f t="shared" si="9"/>
        <v>344.27751141771773</v>
      </c>
      <c r="W71" s="305">
        <f t="shared" si="9"/>
        <v>343.37053566862204</v>
      </c>
      <c r="X71" s="305">
        <f t="shared" si="9"/>
        <v>342.46355991952629</v>
      </c>
      <c r="Y71" s="305">
        <f t="shared" si="9"/>
        <v>341.55658417043065</v>
      </c>
      <c r="Z71" s="305">
        <f t="shared" si="9"/>
        <v>340.6496084213349</v>
      </c>
      <c r="AA71" s="305">
        <f t="shared" si="9"/>
        <v>339.74263267223927</v>
      </c>
      <c r="AB71" s="305">
        <f t="shared" si="9"/>
        <v>338.83565692314363</v>
      </c>
      <c r="AC71" s="434">
        <f t="shared" si="9"/>
        <v>337.92868117404794</v>
      </c>
      <c r="AD71" s="372">
        <f t="shared" si="5"/>
        <v>7560.1369523967542</v>
      </c>
    </row>
    <row r="72" spans="1:30" s="53" customFormat="1" ht="12">
      <c r="A72" s="44"/>
      <c r="B72" s="70"/>
      <c r="D72" s="229"/>
      <c r="E72" s="236"/>
      <c r="F72" s="45"/>
      <c r="G72" s="59"/>
      <c r="H72" s="59"/>
      <c r="I72" s="59"/>
      <c r="J72" s="59"/>
      <c r="K72" s="59"/>
      <c r="L72" s="59"/>
      <c r="M72" s="59"/>
      <c r="N72" s="59"/>
      <c r="O72" s="59"/>
      <c r="P72" s="59"/>
      <c r="Q72" s="59"/>
      <c r="R72" s="59"/>
      <c r="S72" s="59"/>
      <c r="T72" s="59"/>
      <c r="U72" s="59"/>
      <c r="V72" s="59"/>
      <c r="W72" s="59"/>
      <c r="X72" s="59"/>
      <c r="Y72" s="59"/>
      <c r="AC72" s="283"/>
      <c r="AD72" s="361">
        <f t="shared" si="5"/>
        <v>0</v>
      </c>
    </row>
    <row r="73" spans="1:30" s="53" customFormat="1" ht="12">
      <c r="A73" s="44"/>
      <c r="B73" s="70"/>
      <c r="D73" s="229"/>
      <c r="E73" s="236"/>
      <c r="F73" s="45"/>
      <c r="G73" s="59"/>
      <c r="H73" s="59"/>
      <c r="I73" s="59"/>
      <c r="J73" s="59"/>
      <c r="K73" s="59"/>
      <c r="L73" s="59"/>
      <c r="M73" s="59"/>
      <c r="N73" s="59"/>
      <c r="O73" s="59"/>
      <c r="P73" s="59"/>
      <c r="Q73" s="59"/>
      <c r="R73" s="59"/>
      <c r="S73" s="59"/>
      <c r="T73" s="59"/>
      <c r="U73" s="59"/>
      <c r="V73" s="59"/>
      <c r="W73" s="59"/>
      <c r="X73" s="59"/>
      <c r="Y73" s="59"/>
      <c r="AC73" s="283"/>
      <c r="AD73" s="361">
        <f t="shared" si="5"/>
        <v>0</v>
      </c>
    </row>
    <row r="74" spans="1:30" s="53" customFormat="1" ht="12">
      <c r="A74" s="44"/>
      <c r="B74" s="270" t="s">
        <v>462</v>
      </c>
      <c r="C74" s="54" t="s">
        <v>426</v>
      </c>
      <c r="D74" s="229"/>
      <c r="E74" s="236"/>
      <c r="F74" s="45">
        <f>F16</f>
        <v>0</v>
      </c>
      <c r="G74" s="45">
        <f t="shared" ref="G74:AC74" si="10">G16</f>
        <v>0</v>
      </c>
      <c r="H74" s="45">
        <f t="shared" si="10"/>
        <v>129.28584613431661</v>
      </c>
      <c r="I74" s="263">
        <f t="shared" si="10"/>
        <v>130.48299200405381</v>
      </c>
      <c r="J74" s="263">
        <f t="shared" si="10"/>
        <v>131.68013787379098</v>
      </c>
      <c r="K74" s="263">
        <f t="shared" si="10"/>
        <v>132.87728374352818</v>
      </c>
      <c r="L74" s="263">
        <f t="shared" si="10"/>
        <v>134.07442961326538</v>
      </c>
      <c r="M74" s="263">
        <f t="shared" si="10"/>
        <v>135.27157548300255</v>
      </c>
      <c r="N74" s="263">
        <f t="shared" si="10"/>
        <v>136.46872135273975</v>
      </c>
      <c r="O74" s="263">
        <f t="shared" si="10"/>
        <v>136.1166243689068</v>
      </c>
      <c r="P74" s="263">
        <f t="shared" si="10"/>
        <v>135.76452738507379</v>
      </c>
      <c r="Q74" s="263">
        <f t="shared" si="10"/>
        <v>135.41243040124081</v>
      </c>
      <c r="R74" s="263">
        <f t="shared" si="10"/>
        <v>135.06033341740786</v>
      </c>
      <c r="S74" s="263">
        <f t="shared" si="10"/>
        <v>134.70823643357485</v>
      </c>
      <c r="T74" s="263">
        <f t="shared" si="10"/>
        <v>134.3561394497419</v>
      </c>
      <c r="U74" s="263">
        <f t="shared" si="10"/>
        <v>134.00404246590892</v>
      </c>
      <c r="V74" s="263">
        <f t="shared" si="10"/>
        <v>133.65194548207589</v>
      </c>
      <c r="W74" s="263">
        <f t="shared" si="10"/>
        <v>133.29984849824291</v>
      </c>
      <c r="X74" s="263">
        <f t="shared" si="10"/>
        <v>132.9477515144099</v>
      </c>
      <c r="Y74" s="263">
        <f t="shared" si="10"/>
        <v>132.59565453057695</v>
      </c>
      <c r="Z74" s="263">
        <f t="shared" si="10"/>
        <v>132.24355754674397</v>
      </c>
      <c r="AA74" s="263">
        <f t="shared" si="10"/>
        <v>131.89146056291099</v>
      </c>
      <c r="AB74" s="263">
        <f t="shared" si="10"/>
        <v>131.53936357907804</v>
      </c>
      <c r="AC74" s="285">
        <f t="shared" si="10"/>
        <v>131.18726659524506</v>
      </c>
      <c r="AD74" s="363">
        <f t="shared" si="5"/>
        <v>2934.9201684358359</v>
      </c>
    </row>
    <row r="75" spans="1:30" s="53" customFormat="1" ht="12">
      <c r="A75" s="44"/>
      <c r="B75" s="70"/>
      <c r="C75" s="63" t="s">
        <v>131</v>
      </c>
      <c r="D75" s="229"/>
      <c r="E75" s="236"/>
      <c r="F75" s="45"/>
      <c r="G75" s="313"/>
      <c r="H75" s="313"/>
      <c r="I75" s="313"/>
      <c r="J75" s="313"/>
      <c r="K75" s="313"/>
      <c r="L75" s="313"/>
      <c r="M75" s="313"/>
      <c r="N75" s="313"/>
      <c r="O75" s="313"/>
      <c r="P75" s="313"/>
      <c r="Q75" s="313"/>
      <c r="R75" s="313"/>
      <c r="S75" s="313"/>
      <c r="T75" s="313"/>
      <c r="U75" s="313"/>
      <c r="V75" s="313"/>
      <c r="W75" s="313"/>
      <c r="X75" s="313"/>
      <c r="Y75" s="313"/>
      <c r="Z75" s="45"/>
      <c r="AA75" s="45"/>
      <c r="AB75" s="45"/>
      <c r="AC75" s="283"/>
      <c r="AD75" s="361">
        <f t="shared" si="5"/>
        <v>0</v>
      </c>
    </row>
    <row r="76" spans="1:30" s="53" customFormat="1" ht="12">
      <c r="A76" s="44"/>
      <c r="B76" s="70"/>
      <c r="C76" s="243" t="s">
        <v>403</v>
      </c>
      <c r="D76" s="229"/>
      <c r="E76" s="236"/>
      <c r="F76" s="318">
        <f>F49</f>
        <v>0.39100279786137265</v>
      </c>
      <c r="G76" s="318">
        <f t="shared" ref="G76:AC76" si="11">G49</f>
        <v>0.39205714599476826</v>
      </c>
      <c r="H76" s="318">
        <f t="shared" si="11"/>
        <v>0.39311874523828177</v>
      </c>
      <c r="I76" s="318">
        <f t="shared" si="11"/>
        <v>0.39418767065254157</v>
      </c>
      <c r="J76" s="318">
        <f t="shared" si="11"/>
        <v>0.39526399833776032</v>
      </c>
      <c r="K76" s="318">
        <f t="shared" si="11"/>
        <v>0.39634780545179538</v>
      </c>
      <c r="L76" s="318">
        <f t="shared" si="11"/>
        <v>0.39743917022858699</v>
      </c>
      <c r="M76" s="318">
        <f t="shared" si="11"/>
        <v>0.39853817199698321</v>
      </c>
      <c r="N76" s="318">
        <f t="shared" si="11"/>
        <v>0.39964489119996166</v>
      </c>
      <c r="O76" s="318">
        <f t="shared" si="11"/>
        <v>0.40075940941425758</v>
      </c>
      <c r="P76" s="318">
        <f t="shared" si="11"/>
        <v>0.40188180937040846</v>
      </c>
      <c r="Q76" s="318">
        <f t="shared" si="11"/>
        <v>0.40301217497322528</v>
      </c>
      <c r="R76" s="318">
        <f t="shared" si="11"/>
        <v>0.40415059132270104</v>
      </c>
      <c r="S76" s="318">
        <f t="shared" si="11"/>
        <v>0.40529714473536788</v>
      </c>
      <c r="T76" s="318">
        <f t="shared" si="11"/>
        <v>0.40645192276611369</v>
      </c>
      <c r="U76" s="318">
        <f t="shared" si="11"/>
        <v>0.40761501423047014</v>
      </c>
      <c r="V76" s="318">
        <f t="shared" si="11"/>
        <v>0.40878650922738302</v>
      </c>
      <c r="W76" s="318">
        <f t="shared" si="11"/>
        <v>0.40996649916247907</v>
      </c>
      <c r="X76" s="318">
        <f t="shared" si="11"/>
        <v>0.41115507677183999</v>
      </c>
      <c r="Y76" s="318">
        <f t="shared" si="11"/>
        <v>0.41235233614629774</v>
      </c>
      <c r="Z76" s="318">
        <f t="shared" si="11"/>
        <v>0.41355837275626389</v>
      </c>
      <c r="AA76" s="318">
        <f t="shared" si="11"/>
        <v>0.41477328347710757</v>
      </c>
      <c r="AB76" s="318">
        <f t="shared" si="11"/>
        <v>0.415997166615095</v>
      </c>
      <c r="AC76" s="321">
        <f t="shared" si="11"/>
        <v>0.41723012193390652</v>
      </c>
      <c r="AD76" s="368">
        <f t="shared" si="5"/>
        <v>9.6905878298649686</v>
      </c>
    </row>
    <row r="77" spans="1:30" s="53" customFormat="1" ht="12">
      <c r="A77" s="44"/>
      <c r="B77" s="70"/>
      <c r="C77" s="243" t="s">
        <v>420</v>
      </c>
      <c r="D77" s="268">
        <f>D50</f>
        <v>0.38127571701364549</v>
      </c>
      <c r="E77" s="236"/>
      <c r="F77" s="45"/>
      <c r="G77" s="313"/>
      <c r="H77" s="313"/>
      <c r="I77" s="313"/>
      <c r="J77" s="313"/>
      <c r="K77" s="313"/>
      <c r="L77" s="313"/>
      <c r="M77" s="313"/>
      <c r="N77" s="313"/>
      <c r="O77" s="313"/>
      <c r="P77" s="313"/>
      <c r="Q77" s="313"/>
      <c r="R77" s="313"/>
      <c r="S77" s="313"/>
      <c r="T77" s="313"/>
      <c r="U77" s="313"/>
      <c r="V77" s="313"/>
      <c r="W77" s="313"/>
      <c r="X77" s="313"/>
      <c r="Y77" s="313"/>
      <c r="Z77" s="45"/>
      <c r="AA77" s="45"/>
      <c r="AB77" s="45"/>
      <c r="AC77" s="283"/>
      <c r="AD77" s="361">
        <f t="shared" si="5"/>
        <v>0</v>
      </c>
    </row>
    <row r="78" spans="1:30" s="53" customFormat="1" ht="12">
      <c r="A78" s="44"/>
      <c r="B78" s="70"/>
      <c r="C78" s="243" t="s">
        <v>439</v>
      </c>
      <c r="D78" s="229">
        <f>'Mode Operating Assumptions'!C102</f>
        <v>0.17899999999999999</v>
      </c>
      <c r="E78" s="236"/>
      <c r="F78" s="45"/>
      <c r="G78" s="313"/>
      <c r="H78" s="313"/>
      <c r="I78" s="313"/>
      <c r="J78" s="313"/>
      <c r="K78" s="313"/>
      <c r="L78" s="313"/>
      <c r="M78" s="313"/>
      <c r="N78" s="313"/>
      <c r="O78" s="313"/>
      <c r="P78" s="313"/>
      <c r="Q78" s="313"/>
      <c r="R78" s="313"/>
      <c r="S78" s="313"/>
      <c r="T78" s="313"/>
      <c r="U78" s="313"/>
      <c r="V78" s="313"/>
      <c r="W78" s="313"/>
      <c r="X78" s="313"/>
      <c r="Y78" s="313"/>
      <c r="Z78" s="45"/>
      <c r="AA78" s="45"/>
      <c r="AB78" s="45"/>
      <c r="AC78" s="283"/>
      <c r="AD78" s="361">
        <f t="shared" si="5"/>
        <v>0</v>
      </c>
    </row>
    <row r="79" spans="1:30" s="53" customFormat="1" ht="12">
      <c r="A79" s="44"/>
      <c r="B79" s="70"/>
      <c r="C79" s="243" t="s">
        <v>400</v>
      </c>
      <c r="D79" s="229">
        <f>D52</f>
        <v>13.91</v>
      </c>
      <c r="E79" s="236"/>
      <c r="F79" s="45"/>
      <c r="G79" s="313"/>
      <c r="H79" s="313"/>
      <c r="I79" s="313"/>
      <c r="J79" s="313"/>
      <c r="K79" s="313"/>
      <c r="L79" s="313"/>
      <c r="M79" s="313"/>
      <c r="N79" s="313"/>
      <c r="O79" s="313"/>
      <c r="P79" s="313"/>
      <c r="Q79" s="313"/>
      <c r="R79" s="313"/>
      <c r="S79" s="313"/>
      <c r="T79" s="313"/>
      <c r="U79" s="313"/>
      <c r="V79" s="313"/>
      <c r="W79" s="313"/>
      <c r="X79" s="313"/>
      <c r="Y79" s="313"/>
      <c r="Z79" s="45"/>
      <c r="AA79" s="45"/>
      <c r="AB79" s="45"/>
      <c r="AC79" s="283"/>
      <c r="AD79" s="361">
        <f t="shared" si="5"/>
        <v>0</v>
      </c>
    </row>
    <row r="80" spans="1:30" s="53" customFormat="1" ht="12">
      <c r="A80" s="44"/>
      <c r="B80" s="70"/>
      <c r="C80" s="243" t="s">
        <v>401</v>
      </c>
      <c r="D80" s="229">
        <f t="shared" ref="D80" si="12">D53</f>
        <v>13.91</v>
      </c>
      <c r="E80" s="236"/>
      <c r="F80" s="45"/>
      <c r="G80" s="313"/>
      <c r="H80" s="313"/>
      <c r="I80" s="313"/>
      <c r="J80" s="313"/>
      <c r="K80" s="313"/>
      <c r="L80" s="313"/>
      <c r="M80" s="313"/>
      <c r="N80" s="313"/>
      <c r="O80" s="313"/>
      <c r="P80" s="313"/>
      <c r="Q80" s="313"/>
      <c r="R80" s="313"/>
      <c r="S80" s="313"/>
      <c r="T80" s="313"/>
      <c r="U80" s="313"/>
      <c r="V80" s="313"/>
      <c r="W80" s="313"/>
      <c r="X80" s="313"/>
      <c r="Y80" s="313"/>
      <c r="Z80" s="45"/>
      <c r="AA80" s="45"/>
      <c r="AB80" s="45"/>
      <c r="AC80" s="283"/>
      <c r="AD80" s="361">
        <f t="shared" si="5"/>
        <v>0</v>
      </c>
    </row>
    <row r="81" spans="1:30" s="53" customFormat="1" ht="12">
      <c r="A81" s="44"/>
      <c r="B81" s="70"/>
      <c r="C81" s="243" t="s">
        <v>438</v>
      </c>
      <c r="D81" s="229">
        <f>'Mode Operating Assumptions'!C103</f>
        <v>13.91</v>
      </c>
      <c r="E81" s="236"/>
      <c r="F81" s="45"/>
      <c r="G81" s="313"/>
      <c r="H81" s="313"/>
      <c r="I81" s="313"/>
      <c r="J81" s="313"/>
      <c r="K81" s="313"/>
      <c r="L81" s="313"/>
      <c r="M81" s="313"/>
      <c r="N81" s="313"/>
      <c r="O81" s="313"/>
      <c r="P81" s="313"/>
      <c r="Q81" s="313"/>
      <c r="R81" s="313"/>
      <c r="S81" s="313"/>
      <c r="T81" s="313"/>
      <c r="U81" s="313"/>
      <c r="V81" s="313"/>
      <c r="W81" s="313"/>
      <c r="X81" s="313"/>
      <c r="Y81" s="313"/>
      <c r="Z81" s="45"/>
      <c r="AA81" s="45"/>
      <c r="AB81" s="45"/>
      <c r="AC81" s="283"/>
      <c r="AD81" s="361">
        <f t="shared" si="5"/>
        <v>0</v>
      </c>
    </row>
    <row r="82" spans="1:30" s="53" customFormat="1" ht="12">
      <c r="A82" s="44"/>
      <c r="B82" s="70"/>
      <c r="C82" s="78" t="s">
        <v>440</v>
      </c>
      <c r="D82" s="229"/>
      <c r="E82" s="236"/>
      <c r="F82" s="275">
        <f>+(F76*$D$79)-($D$77*$D$80)-($D$78*$D$81)</f>
        <v>-2.3545863054081151</v>
      </c>
      <c r="G82" s="275">
        <f t="shared" ref="G82:AC82" si="13">+(G76*$D$79)-($D$77*$D$80)-($D$78*$D$81)</f>
        <v>-2.3399203228725822</v>
      </c>
      <c r="H82" s="275">
        <f t="shared" si="13"/>
        <v>-2.3251534773953093</v>
      </c>
      <c r="I82" s="275">
        <f t="shared" si="13"/>
        <v>-2.3102847248829557</v>
      </c>
      <c r="J82" s="275">
        <f t="shared" si="13"/>
        <v>-2.2953130067815621</v>
      </c>
      <c r="K82" s="275">
        <f t="shared" si="13"/>
        <v>-2.2802372498253352</v>
      </c>
      <c r="L82" s="275">
        <f t="shared" si="13"/>
        <v>-2.2650563657801639</v>
      </c>
      <c r="M82" s="275">
        <f t="shared" si="13"/>
        <v>-2.249769251181772</v>
      </c>
      <c r="N82" s="275">
        <f t="shared" si="13"/>
        <v>-2.2343747870683419</v>
      </c>
      <c r="O82" s="275">
        <f t="shared" si="13"/>
        <v>-2.2188718387074857</v>
      </c>
      <c r="P82" s="275">
        <f t="shared" si="13"/>
        <v>-2.2032592553174268</v>
      </c>
      <c r="Q82" s="275">
        <f t="shared" si="13"/>
        <v>-2.1875358697822449</v>
      </c>
      <c r="R82" s="275">
        <f t="shared" si="13"/>
        <v>-2.1717004983610373</v>
      </c>
      <c r="S82" s="275">
        <f t="shared" si="13"/>
        <v>-2.1557519403908412</v>
      </c>
      <c r="T82" s="275">
        <f t="shared" si="13"/>
        <v>-2.1396889779831669</v>
      </c>
      <c r="U82" s="275">
        <f t="shared" si="13"/>
        <v>-2.1235103757139688</v>
      </c>
      <c r="V82" s="275">
        <f t="shared" si="13"/>
        <v>-2.1072148803069108</v>
      </c>
      <c r="W82" s="275">
        <f t="shared" si="13"/>
        <v>-2.090801220309725</v>
      </c>
      <c r="X82" s="275">
        <f t="shared" si="13"/>
        <v>-2.0742681057635144</v>
      </c>
      <c r="Y82" s="275">
        <f t="shared" si="13"/>
        <v>-2.0576142278648071</v>
      </c>
      <c r="Z82" s="275">
        <f t="shared" si="13"/>
        <v>-2.0408382586201776</v>
      </c>
      <c r="AA82" s="275">
        <f t="shared" si="13"/>
        <v>-2.0239388504932423</v>
      </c>
      <c r="AB82" s="275">
        <f t="shared" si="13"/>
        <v>-2.0069146360438372</v>
      </c>
      <c r="AC82" s="288">
        <f t="shared" si="13"/>
        <v>-1.9897642275591689</v>
      </c>
      <c r="AD82" s="369">
        <f t="shared" si="5"/>
        <v>-52.2463686544137</v>
      </c>
    </row>
    <row r="83" spans="1:30">
      <c r="D83" s="229"/>
      <c r="E83" s="236"/>
      <c r="F83" s="275">
        <f>F82*F74</f>
        <v>0</v>
      </c>
      <c r="G83" s="275">
        <f t="shared" ref="G83:AC83" si="14">G82*G74</f>
        <v>0</v>
      </c>
      <c r="H83" s="275">
        <f t="shared" si="14"/>
        <v>-300.60943471720117</v>
      </c>
      <c r="I83" s="275">
        <f t="shared" si="14"/>
        <v>-301.45286328399038</v>
      </c>
      <c r="J83" s="275">
        <f t="shared" si="14"/>
        <v>-302.24713319650186</v>
      </c>
      <c r="K83" s="275">
        <f t="shared" si="14"/>
        <v>-302.99173204760342</v>
      </c>
      <c r="L83" s="275">
        <f t="shared" si="14"/>
        <v>-303.68614028387128</v>
      </c>
      <c r="M83" s="275">
        <f t="shared" si="14"/>
        <v>-304.32983108057317</v>
      </c>
      <c r="N83" s="275">
        <f t="shared" si="14"/>
        <v>-304.92227021401675</v>
      </c>
      <c r="O83" s="275">
        <f t="shared" si="14"/>
        <v>-302.02534459209238</v>
      </c>
      <c r="P83" s="275">
        <f t="shared" si="14"/>
        <v>-299.12445150496006</v>
      </c>
      <c r="Q83" s="275">
        <f t="shared" si="14"/>
        <v>-296.21954871710602</v>
      </c>
      <c r="R83" s="275">
        <f t="shared" si="14"/>
        <v>-293.3105933913925</v>
      </c>
      <c r="S83" s="275">
        <f t="shared" si="14"/>
        <v>-290.3975420783072</v>
      </c>
      <c r="T83" s="275">
        <f t="shared" si="14"/>
        <v>-287.48035070498213</v>
      </c>
      <c r="U83" s="275">
        <f t="shared" si="14"/>
        <v>-284.55897456397287</v>
      </c>
      <c r="V83" s="275">
        <f t="shared" si="14"/>
        <v>-281.63336830179833</v>
      </c>
      <c r="W83" s="275">
        <f t="shared" si="14"/>
        <v>-278.70348590722773</v>
      </c>
      <c r="X83" s="275">
        <f t="shared" si="14"/>
        <v>-275.76928069931341</v>
      </c>
      <c r="Y83" s="275">
        <f t="shared" si="14"/>
        <v>-272.83070531516182</v>
      </c>
      <c r="Z83" s="275">
        <f t="shared" si="14"/>
        <v>-269.88771169743421</v>
      </c>
      <c r="AA83" s="275">
        <f t="shared" si="14"/>
        <v>-266.94025108157285</v>
      </c>
      <c r="AB83" s="275">
        <f t="shared" si="14"/>
        <v>-263.98827398274341</v>
      </c>
      <c r="AC83" s="288">
        <f t="shared" si="14"/>
        <v>-261.03173018248657</v>
      </c>
      <c r="AD83" s="369">
        <f t="shared" si="5"/>
        <v>-6344.1410175443098</v>
      </c>
    </row>
    <row r="84" spans="1:30" s="53" customFormat="1" ht="12">
      <c r="A84" s="44"/>
      <c r="B84" s="70"/>
      <c r="C84" s="62" t="s">
        <v>429</v>
      </c>
      <c r="D84" s="229"/>
      <c r="E84" s="236"/>
      <c r="F84" s="309">
        <f>F83</f>
        <v>0</v>
      </c>
      <c r="G84" s="309">
        <f t="shared" ref="G84:AC84" si="15">G83</f>
        <v>0</v>
      </c>
      <c r="H84" s="309">
        <f t="shared" si="15"/>
        <v>-300.60943471720117</v>
      </c>
      <c r="I84" s="309">
        <f t="shared" si="15"/>
        <v>-301.45286328399038</v>
      </c>
      <c r="J84" s="309">
        <f t="shared" si="15"/>
        <v>-302.24713319650186</v>
      </c>
      <c r="K84" s="309">
        <f t="shared" si="15"/>
        <v>-302.99173204760342</v>
      </c>
      <c r="L84" s="309">
        <f t="shared" si="15"/>
        <v>-303.68614028387128</v>
      </c>
      <c r="M84" s="309">
        <f t="shared" si="15"/>
        <v>-304.32983108057317</v>
      </c>
      <c r="N84" s="309">
        <f t="shared" si="15"/>
        <v>-304.92227021401675</v>
      </c>
      <c r="O84" s="309">
        <f t="shared" si="15"/>
        <v>-302.02534459209238</v>
      </c>
      <c r="P84" s="309">
        <f t="shared" si="15"/>
        <v>-299.12445150496006</v>
      </c>
      <c r="Q84" s="309">
        <f t="shared" si="15"/>
        <v>-296.21954871710602</v>
      </c>
      <c r="R84" s="309">
        <f t="shared" si="15"/>
        <v>-293.3105933913925</v>
      </c>
      <c r="S84" s="309">
        <f t="shared" si="15"/>
        <v>-290.3975420783072</v>
      </c>
      <c r="T84" s="309">
        <f t="shared" si="15"/>
        <v>-287.48035070498213</v>
      </c>
      <c r="U84" s="309">
        <f t="shared" si="15"/>
        <v>-284.55897456397287</v>
      </c>
      <c r="V84" s="309">
        <f t="shared" si="15"/>
        <v>-281.63336830179833</v>
      </c>
      <c r="W84" s="309">
        <f t="shared" si="15"/>
        <v>-278.70348590722773</v>
      </c>
      <c r="X84" s="309">
        <f t="shared" si="15"/>
        <v>-275.76928069931341</v>
      </c>
      <c r="Y84" s="309">
        <f t="shared" si="15"/>
        <v>-272.83070531516182</v>
      </c>
      <c r="Z84" s="309">
        <f t="shared" si="15"/>
        <v>-269.88771169743421</v>
      </c>
      <c r="AA84" s="309">
        <f t="shared" si="15"/>
        <v>-266.94025108157285</v>
      </c>
      <c r="AB84" s="309">
        <f t="shared" si="15"/>
        <v>-263.98827398274341</v>
      </c>
      <c r="AC84" s="340">
        <f t="shared" si="15"/>
        <v>-261.03173018248657</v>
      </c>
      <c r="AD84" s="370">
        <f t="shared" si="5"/>
        <v>-6344.1410175443098</v>
      </c>
    </row>
    <row r="85" spans="1:30" s="53" customFormat="1" ht="12">
      <c r="A85" s="44"/>
      <c r="B85" s="70"/>
      <c r="C85" s="62"/>
      <c r="D85" s="229"/>
      <c r="E85" s="236"/>
      <c r="F85" s="45"/>
      <c r="G85" s="59"/>
      <c r="H85" s="59"/>
      <c r="I85" s="59"/>
      <c r="J85" s="59"/>
      <c r="K85" s="59"/>
      <c r="L85" s="59"/>
      <c r="M85" s="59"/>
      <c r="N85" s="59"/>
      <c r="O85" s="59"/>
      <c r="P85" s="59"/>
      <c r="Q85" s="59"/>
      <c r="R85" s="59"/>
      <c r="S85" s="59"/>
      <c r="T85" s="59"/>
      <c r="U85" s="59"/>
      <c r="V85" s="59"/>
      <c r="W85" s="59"/>
      <c r="X85" s="59"/>
      <c r="Y85" s="59"/>
      <c r="AC85" s="283"/>
      <c r="AD85" s="361">
        <f t="shared" si="5"/>
        <v>0</v>
      </c>
    </row>
    <row r="86" spans="1:30" s="53" customFormat="1" ht="12">
      <c r="A86" s="44"/>
      <c r="B86" s="70"/>
      <c r="C86" s="63" t="s">
        <v>149</v>
      </c>
      <c r="D86" s="229"/>
      <c r="E86" s="236"/>
      <c r="F86" s="45"/>
      <c r="G86" s="59"/>
      <c r="H86" s="59"/>
      <c r="I86" s="59"/>
      <c r="J86" s="59"/>
      <c r="K86" s="59"/>
      <c r="L86" s="59"/>
      <c r="M86" s="59"/>
      <c r="N86" s="59"/>
      <c r="O86" s="59"/>
      <c r="P86" s="59"/>
      <c r="Q86" s="59"/>
      <c r="R86" s="59"/>
      <c r="S86" s="59"/>
      <c r="T86" s="59"/>
      <c r="U86" s="59"/>
      <c r="V86" s="59"/>
      <c r="W86" s="59"/>
      <c r="X86" s="59"/>
      <c r="Y86" s="59"/>
      <c r="AC86" s="283"/>
      <c r="AD86" s="361">
        <f t="shared" si="5"/>
        <v>0</v>
      </c>
    </row>
    <row r="87" spans="1:30" s="53" customFormat="1" ht="12">
      <c r="A87" s="44"/>
      <c r="B87" s="70"/>
      <c r="C87" s="243" t="s">
        <v>446</v>
      </c>
      <c r="D87" s="273">
        <f>D60</f>
        <v>8.1905000000000001</v>
      </c>
      <c r="E87" s="236"/>
      <c r="F87" s="45"/>
      <c r="G87" s="59"/>
      <c r="H87" s="59"/>
      <c r="I87" s="59"/>
      <c r="J87" s="59"/>
      <c r="K87" s="59"/>
      <c r="L87" s="59"/>
      <c r="M87" s="59"/>
      <c r="N87" s="59"/>
      <c r="O87" s="59"/>
      <c r="P87" s="59"/>
      <c r="Q87" s="59"/>
      <c r="R87" s="59"/>
      <c r="S87" s="59"/>
      <c r="T87" s="59"/>
      <c r="U87" s="59"/>
      <c r="V87" s="59"/>
      <c r="W87" s="59"/>
      <c r="X87" s="59"/>
      <c r="Y87" s="59"/>
      <c r="AC87" s="283"/>
      <c r="AD87" s="361">
        <f t="shared" si="5"/>
        <v>0</v>
      </c>
    </row>
    <row r="88" spans="1:30" s="53" customFormat="1" ht="12">
      <c r="A88" s="44"/>
      <c r="B88" s="70"/>
      <c r="C88" s="244" t="s">
        <v>402</v>
      </c>
      <c r="D88" s="273">
        <f t="shared" ref="D88" si="16">D61</f>
        <v>2.107407271835358</v>
      </c>
      <c r="E88" s="236"/>
      <c r="F88" s="45"/>
      <c r="G88" s="59"/>
      <c r="H88" s="59"/>
      <c r="I88" s="59"/>
      <c r="J88" s="59"/>
      <c r="K88" s="59"/>
      <c r="L88" s="59"/>
      <c r="M88" s="59"/>
      <c r="N88" s="59"/>
      <c r="O88" s="59"/>
      <c r="P88" s="59"/>
      <c r="Q88" s="59"/>
      <c r="R88" s="59"/>
      <c r="S88" s="59"/>
      <c r="T88" s="59"/>
      <c r="U88" s="59"/>
      <c r="V88" s="59"/>
      <c r="W88" s="59"/>
      <c r="X88" s="59"/>
      <c r="Y88" s="59"/>
      <c r="AC88" s="283"/>
      <c r="AD88" s="361">
        <f t="shared" si="5"/>
        <v>0</v>
      </c>
    </row>
    <row r="89" spans="1:30" s="53" customFormat="1" ht="12">
      <c r="A89" s="44"/>
      <c r="B89" s="70"/>
      <c r="C89" s="244" t="s">
        <v>414</v>
      </c>
      <c r="D89" s="273">
        <v>0.1</v>
      </c>
      <c r="E89" s="236"/>
      <c r="F89" s="45"/>
      <c r="G89" s="59"/>
      <c r="H89" s="59"/>
      <c r="I89" s="59"/>
      <c r="J89" s="59"/>
      <c r="K89" s="59"/>
      <c r="L89" s="59"/>
      <c r="M89" s="59"/>
      <c r="N89" s="59"/>
      <c r="O89" s="59"/>
      <c r="P89" s="59"/>
      <c r="Q89" s="59"/>
      <c r="R89" s="59"/>
      <c r="S89" s="59"/>
      <c r="T89" s="59"/>
      <c r="U89" s="59"/>
      <c r="V89" s="59"/>
      <c r="W89" s="59"/>
      <c r="X89" s="59"/>
      <c r="Y89" s="59"/>
      <c r="AC89" s="283"/>
      <c r="AD89" s="361">
        <f t="shared" si="5"/>
        <v>0</v>
      </c>
    </row>
    <row r="90" spans="1:30" s="53" customFormat="1" ht="12">
      <c r="A90" s="44"/>
      <c r="B90" s="70"/>
      <c r="C90" s="78" t="s">
        <v>441</v>
      </c>
      <c r="D90" s="273">
        <f>+D87-D88-D89</f>
        <v>5.9830927281646424</v>
      </c>
      <c r="E90" s="236"/>
      <c r="F90" s="252">
        <f t="shared" ref="F90:AC90" si="17">$D90*F74</f>
        <v>0</v>
      </c>
      <c r="G90" s="252">
        <f t="shared" si="17"/>
        <v>0</v>
      </c>
      <c r="H90" s="252">
        <f t="shared" si="17"/>
        <v>773.52920586084258</v>
      </c>
      <c r="I90" s="252">
        <f t="shared" si="17"/>
        <v>780.6918406086196</v>
      </c>
      <c r="J90" s="252">
        <f t="shared" si="17"/>
        <v>787.85447535639639</v>
      </c>
      <c r="K90" s="252">
        <f t="shared" si="17"/>
        <v>795.0171101041733</v>
      </c>
      <c r="L90" s="252">
        <f t="shared" si="17"/>
        <v>802.17974485195032</v>
      </c>
      <c r="M90" s="252">
        <f t="shared" si="17"/>
        <v>809.34237959972711</v>
      </c>
      <c r="N90" s="252">
        <f t="shared" si="17"/>
        <v>816.50501434750402</v>
      </c>
      <c r="O90" s="252">
        <f t="shared" si="17"/>
        <v>814.39838544392444</v>
      </c>
      <c r="P90" s="252">
        <f t="shared" si="17"/>
        <v>812.29175654034441</v>
      </c>
      <c r="Q90" s="252">
        <f t="shared" si="17"/>
        <v>810.18512763676461</v>
      </c>
      <c r="R90" s="252">
        <f t="shared" si="17"/>
        <v>808.07849873318503</v>
      </c>
      <c r="S90" s="252">
        <f t="shared" si="17"/>
        <v>805.971869829605</v>
      </c>
      <c r="T90" s="252">
        <f t="shared" si="17"/>
        <v>803.86524092602542</v>
      </c>
      <c r="U90" s="252">
        <f t="shared" si="17"/>
        <v>801.75861202244562</v>
      </c>
      <c r="V90" s="252">
        <f t="shared" si="17"/>
        <v>799.65198311886547</v>
      </c>
      <c r="W90" s="252">
        <f t="shared" si="17"/>
        <v>797.54535421528567</v>
      </c>
      <c r="X90" s="252">
        <f t="shared" si="17"/>
        <v>795.43872531170575</v>
      </c>
      <c r="Y90" s="252">
        <f t="shared" si="17"/>
        <v>793.33209640812606</v>
      </c>
      <c r="Z90" s="252">
        <f t="shared" si="17"/>
        <v>791.22546750454626</v>
      </c>
      <c r="AA90" s="252">
        <f t="shared" si="17"/>
        <v>789.11883860096646</v>
      </c>
      <c r="AB90" s="252">
        <f t="shared" si="17"/>
        <v>787.01220969738688</v>
      </c>
      <c r="AC90" s="286">
        <f t="shared" si="17"/>
        <v>784.90558079380708</v>
      </c>
      <c r="AD90" s="371">
        <f t="shared" si="5"/>
        <v>17559.899517512196</v>
      </c>
    </row>
    <row r="91" spans="1:30" s="53" customFormat="1" ht="12">
      <c r="A91" s="44"/>
      <c r="C91" s="62" t="s">
        <v>430</v>
      </c>
      <c r="D91" s="229"/>
      <c r="E91" s="236"/>
      <c r="F91" s="252">
        <f>F90</f>
        <v>0</v>
      </c>
      <c r="G91" s="252">
        <f t="shared" ref="G91:AC91" si="18">G90</f>
        <v>0</v>
      </c>
      <c r="H91" s="252">
        <f t="shared" si="18"/>
        <v>773.52920586084258</v>
      </c>
      <c r="I91" s="252">
        <f t="shared" si="18"/>
        <v>780.6918406086196</v>
      </c>
      <c r="J91" s="252">
        <f t="shared" si="18"/>
        <v>787.85447535639639</v>
      </c>
      <c r="K91" s="252">
        <f t="shared" si="18"/>
        <v>795.0171101041733</v>
      </c>
      <c r="L91" s="252">
        <f t="shared" si="18"/>
        <v>802.17974485195032</v>
      </c>
      <c r="M91" s="252">
        <f t="shared" si="18"/>
        <v>809.34237959972711</v>
      </c>
      <c r="N91" s="252">
        <f t="shared" si="18"/>
        <v>816.50501434750402</v>
      </c>
      <c r="O91" s="252">
        <f t="shared" si="18"/>
        <v>814.39838544392444</v>
      </c>
      <c r="P91" s="252">
        <f t="shared" si="18"/>
        <v>812.29175654034441</v>
      </c>
      <c r="Q91" s="252">
        <f t="shared" si="18"/>
        <v>810.18512763676461</v>
      </c>
      <c r="R91" s="252">
        <f t="shared" si="18"/>
        <v>808.07849873318503</v>
      </c>
      <c r="S91" s="252">
        <f t="shared" si="18"/>
        <v>805.971869829605</v>
      </c>
      <c r="T91" s="252">
        <f t="shared" si="18"/>
        <v>803.86524092602542</v>
      </c>
      <c r="U91" s="252">
        <f t="shared" si="18"/>
        <v>801.75861202244562</v>
      </c>
      <c r="V91" s="252">
        <f t="shared" si="18"/>
        <v>799.65198311886547</v>
      </c>
      <c r="W91" s="252">
        <f t="shared" si="18"/>
        <v>797.54535421528567</v>
      </c>
      <c r="X91" s="252">
        <f t="shared" si="18"/>
        <v>795.43872531170575</v>
      </c>
      <c r="Y91" s="252">
        <f t="shared" si="18"/>
        <v>793.33209640812606</v>
      </c>
      <c r="Z91" s="252">
        <f t="shared" si="18"/>
        <v>791.22546750454626</v>
      </c>
      <c r="AA91" s="252">
        <f t="shared" si="18"/>
        <v>789.11883860096646</v>
      </c>
      <c r="AB91" s="252">
        <f t="shared" si="18"/>
        <v>787.01220969738688</v>
      </c>
      <c r="AC91" s="286">
        <f t="shared" si="18"/>
        <v>784.90558079380708</v>
      </c>
      <c r="AD91" s="371">
        <f t="shared" si="5"/>
        <v>17559.899517512196</v>
      </c>
    </row>
    <row r="92" spans="1:30" s="53" customFormat="1" ht="12">
      <c r="A92" s="44"/>
      <c r="B92" s="70"/>
      <c r="D92" s="229"/>
      <c r="E92" s="236"/>
      <c r="F92" s="45"/>
      <c r="G92" s="59"/>
      <c r="H92" s="59"/>
      <c r="I92" s="59"/>
      <c r="J92" s="59"/>
      <c r="K92" s="59"/>
      <c r="L92" s="59"/>
      <c r="M92" s="59"/>
      <c r="N92" s="59"/>
      <c r="O92" s="59"/>
      <c r="P92" s="59"/>
      <c r="Q92" s="59"/>
      <c r="R92" s="59"/>
      <c r="S92" s="59"/>
      <c r="T92" s="59"/>
      <c r="U92" s="59"/>
      <c r="V92" s="59"/>
      <c r="W92" s="59"/>
      <c r="X92" s="59"/>
      <c r="Y92" s="59"/>
      <c r="AC92" s="283"/>
      <c r="AD92" s="361">
        <f t="shared" si="5"/>
        <v>0</v>
      </c>
    </row>
    <row r="93" spans="1:30" s="53" customFormat="1" ht="12">
      <c r="A93" s="64"/>
      <c r="B93" s="64"/>
      <c r="D93" s="228"/>
      <c r="E93" s="236"/>
      <c r="F93" s="45"/>
      <c r="G93" s="57"/>
      <c r="AC93" s="283"/>
      <c r="AD93" s="361">
        <f t="shared" ref="AD93:AD106" si="19">SUM(F93:AC93)</f>
        <v>0</v>
      </c>
    </row>
    <row r="94" spans="1:30" s="53" customFormat="1" ht="12">
      <c r="A94" s="45"/>
      <c r="B94" s="45"/>
      <c r="C94" s="64" t="s">
        <v>94</v>
      </c>
      <c r="D94" s="228"/>
      <c r="E94" s="236"/>
      <c r="F94" s="45"/>
      <c r="G94" s="57"/>
      <c r="AC94" s="283"/>
      <c r="AD94" s="361">
        <f t="shared" si="19"/>
        <v>0</v>
      </c>
    </row>
    <row r="95" spans="1:30" s="53" customFormat="1" ht="12">
      <c r="A95" s="45"/>
      <c r="B95" s="45"/>
      <c r="C95" s="55" t="s">
        <v>500</v>
      </c>
      <c r="D95" s="279">
        <v>0.5</v>
      </c>
      <c r="E95" s="236"/>
      <c r="F95" s="45"/>
      <c r="G95" s="57"/>
      <c r="AC95" s="283"/>
      <c r="AD95" s="361">
        <f t="shared" si="19"/>
        <v>0</v>
      </c>
    </row>
    <row r="96" spans="1:30" s="53" customFormat="1" ht="12">
      <c r="A96" s="45"/>
      <c r="B96" s="45"/>
      <c r="C96" s="78"/>
      <c r="D96" s="228"/>
      <c r="E96" s="236"/>
      <c r="F96" s="45"/>
      <c r="G96" s="57"/>
      <c r="AC96" s="283"/>
      <c r="AD96" s="361">
        <f t="shared" si="19"/>
        <v>0</v>
      </c>
    </row>
    <row r="97" spans="1:30" s="53" customFormat="1" ht="12">
      <c r="A97" s="44"/>
      <c r="B97" s="5" t="s">
        <v>367</v>
      </c>
      <c r="C97" s="78" t="s">
        <v>418</v>
      </c>
      <c r="D97" s="273"/>
      <c r="E97" s="236"/>
      <c r="F97" s="45">
        <f>F12</f>
        <v>0</v>
      </c>
      <c r="G97" s="45">
        <f t="shared" ref="G97:AC97" si="20">G12</f>
        <v>0</v>
      </c>
      <c r="H97" s="45">
        <f t="shared" si="20"/>
        <v>4550.7983822659762</v>
      </c>
      <c r="I97" s="45">
        <f t="shared" si="20"/>
        <v>4592.9373298014734</v>
      </c>
      <c r="J97" s="45">
        <f t="shared" si="20"/>
        <v>4635.0762773369706</v>
      </c>
      <c r="K97" s="45">
        <f t="shared" si="20"/>
        <v>4677.2152248724688</v>
      </c>
      <c r="L97" s="45">
        <f t="shared" si="20"/>
        <v>4719.3541724079678</v>
      </c>
      <c r="M97" s="45">
        <f t="shared" si="20"/>
        <v>4761.493119943465</v>
      </c>
      <c r="N97" s="45">
        <f t="shared" si="20"/>
        <v>4803.6320674789622</v>
      </c>
      <c r="O97" s="45">
        <f t="shared" si="20"/>
        <v>4791.2384263160848</v>
      </c>
      <c r="P97" s="45">
        <f t="shared" si="20"/>
        <v>4778.8447851532055</v>
      </c>
      <c r="Q97" s="45">
        <f t="shared" si="20"/>
        <v>4766.4511439903272</v>
      </c>
      <c r="R97" s="45">
        <f t="shared" si="20"/>
        <v>4754.0575028274488</v>
      </c>
      <c r="S97" s="45">
        <f t="shared" si="20"/>
        <v>4741.6638616645687</v>
      </c>
      <c r="T97" s="45">
        <f t="shared" si="20"/>
        <v>4729.2702205016913</v>
      </c>
      <c r="U97" s="45">
        <f t="shared" si="20"/>
        <v>4716.8765793388129</v>
      </c>
      <c r="V97" s="45">
        <f t="shared" si="20"/>
        <v>4704.4829381759328</v>
      </c>
      <c r="W97" s="45">
        <f t="shared" si="20"/>
        <v>4692.0892970130544</v>
      </c>
      <c r="X97" s="45">
        <f t="shared" si="20"/>
        <v>4679.6956558501752</v>
      </c>
      <c r="Y97" s="45">
        <f t="shared" si="20"/>
        <v>4667.3020146872968</v>
      </c>
      <c r="Z97" s="45">
        <f t="shared" si="20"/>
        <v>4654.9083735244185</v>
      </c>
      <c r="AA97" s="45">
        <f t="shared" si="20"/>
        <v>4642.5147323615402</v>
      </c>
      <c r="AB97" s="45">
        <f t="shared" si="20"/>
        <v>4630.1210911986627</v>
      </c>
      <c r="AC97" s="283">
        <f t="shared" si="20"/>
        <v>4617.7274500357826</v>
      </c>
      <c r="AD97" s="361">
        <f t="shared" si="19"/>
        <v>103307.75064674628</v>
      </c>
    </row>
    <row r="98" spans="1:30" s="53" customFormat="1" ht="12">
      <c r="A98" s="44"/>
      <c r="B98" s="5"/>
      <c r="C98" s="78" t="s">
        <v>417</v>
      </c>
      <c r="D98" s="273"/>
      <c r="E98" s="236"/>
      <c r="F98" s="275">
        <f>$D$95*F55</f>
        <v>-3.0038325277040578</v>
      </c>
      <c r="G98" s="275">
        <f t="shared" ref="G98:AC98" si="21">$D$95*G55</f>
        <v>-2.9964995364362914</v>
      </c>
      <c r="H98" s="275">
        <f t="shared" si="21"/>
        <v>-2.989116113697655</v>
      </c>
      <c r="I98" s="275">
        <f t="shared" si="21"/>
        <v>-2.9816817374414781</v>
      </c>
      <c r="J98" s="275">
        <f t="shared" si="21"/>
        <v>-2.9741958783907814</v>
      </c>
      <c r="K98" s="275">
        <f t="shared" si="21"/>
        <v>-2.9666579999126679</v>
      </c>
      <c r="L98" s="275">
        <f t="shared" si="21"/>
        <v>-2.9590675578900822</v>
      </c>
      <c r="M98" s="275">
        <f t="shared" si="21"/>
        <v>-2.9514240005908863</v>
      </c>
      <c r="N98" s="275">
        <f t="shared" si="21"/>
        <v>-2.9437267685341713</v>
      </c>
      <c r="O98" s="275">
        <f t="shared" si="21"/>
        <v>-2.9359752943537432</v>
      </c>
      <c r="P98" s="275">
        <f t="shared" si="21"/>
        <v>-2.9281690026587137</v>
      </c>
      <c r="Q98" s="275">
        <f t="shared" si="21"/>
        <v>-2.9203073098911227</v>
      </c>
      <c r="R98" s="275">
        <f t="shared" si="21"/>
        <v>-2.9123896241805189</v>
      </c>
      <c r="S98" s="275">
        <f t="shared" si="21"/>
        <v>-2.9044153451954209</v>
      </c>
      <c r="T98" s="275">
        <f t="shared" si="21"/>
        <v>-2.8963838639915838</v>
      </c>
      <c r="U98" s="275">
        <f t="shared" si="21"/>
        <v>-2.8882945628569847</v>
      </c>
      <c r="V98" s="275">
        <f t="shared" si="21"/>
        <v>-2.8801468151534557</v>
      </c>
      <c r="W98" s="275">
        <f t="shared" si="21"/>
        <v>-2.8719399851548628</v>
      </c>
      <c r="X98" s="275">
        <f t="shared" si="21"/>
        <v>-2.8636734278817575</v>
      </c>
      <c r="Y98" s="275">
        <f t="shared" si="21"/>
        <v>-2.8553464889324038</v>
      </c>
      <c r="Z98" s="275">
        <f t="shared" si="21"/>
        <v>-2.8469585043100891</v>
      </c>
      <c r="AA98" s="275">
        <f t="shared" si="21"/>
        <v>-2.8385088002466214</v>
      </c>
      <c r="AB98" s="275">
        <f t="shared" si="21"/>
        <v>-2.8299966930219189</v>
      </c>
      <c r="AC98" s="288">
        <f t="shared" si="21"/>
        <v>-2.8214214887795848</v>
      </c>
      <c r="AD98" s="369">
        <f t="shared" si="19"/>
        <v>-69.960129327206857</v>
      </c>
    </row>
    <row r="99" spans="1:30" s="53" customFormat="1" ht="12">
      <c r="A99" s="44"/>
      <c r="C99" s="319" t="s">
        <v>155</v>
      </c>
      <c r="D99" s="273"/>
      <c r="E99" s="236"/>
      <c r="F99" s="275">
        <f>F98*F97</f>
        <v>0</v>
      </c>
      <c r="G99" s="275">
        <f t="shared" ref="G99:AC99" si="22">G98*G97</f>
        <v>0</v>
      </c>
      <c r="H99" s="275">
        <f t="shared" si="22"/>
        <v>-13602.86477462045</v>
      </c>
      <c r="I99" s="275">
        <f t="shared" si="22"/>
        <v>-13694.67735748228</v>
      </c>
      <c r="J99" s="275">
        <f t="shared" si="22"/>
        <v>-13785.624760082505</v>
      </c>
      <c r="K99" s="275">
        <f t="shared" si="22"/>
        <v>-13875.697964181238</v>
      </c>
      <c r="L99" s="275">
        <f t="shared" si="22"/>
        <v>-13964.887825765616</v>
      </c>
      <c r="M99" s="275">
        <f t="shared" si="22"/>
        <v>-14053.185072849523</v>
      </c>
      <c r="N99" s="275">
        <f t="shared" si="22"/>
        <v>-14140.580303226965</v>
      </c>
      <c r="O99" s="275">
        <f t="shared" si="22"/>
        <v>-14066.957649022332</v>
      </c>
      <c r="P99" s="275">
        <f t="shared" si="22"/>
        <v>-13993.265168402857</v>
      </c>
      <c r="Q99" s="275">
        <f t="shared" si="22"/>
        <v>-13919.502118033857</v>
      </c>
      <c r="R99" s="275">
        <f t="shared" si="22"/>
        <v>-13845.66774399221</v>
      </c>
      <c r="S99" s="275">
        <f t="shared" si="22"/>
        <v>-13771.76128157715</v>
      </c>
      <c r="T99" s="275">
        <f t="shared" si="22"/>
        <v>-13697.781955117018</v>
      </c>
      <c r="U99" s="275">
        <f t="shared" si="22"/>
        <v>-13623.728977771747</v>
      </c>
      <c r="V99" s="275">
        <f t="shared" si="22"/>
        <v>-13549.601551331185</v>
      </c>
      <c r="W99" s="275">
        <f t="shared" si="22"/>
        <v>-13475.398866008962</v>
      </c>
      <c r="X99" s="275">
        <f t="shared" si="22"/>
        <v>-13401.120100231841</v>
      </c>
      <c r="Y99" s="275">
        <f t="shared" si="22"/>
        <v>-13326.764420424508</v>
      </c>
      <c r="Z99" s="275">
        <f t="shared" si="22"/>
        <v>-13252.330980789588</v>
      </c>
      <c r="AA99" s="275">
        <f t="shared" si="22"/>
        <v>-13177.818923082819</v>
      </c>
      <c r="AB99" s="275">
        <f t="shared" si="22"/>
        <v>-13103.227376383255</v>
      </c>
      <c r="AC99" s="288">
        <f t="shared" si="22"/>
        <v>-13028.555456858314</v>
      </c>
      <c r="AD99" s="369">
        <f t="shared" si="19"/>
        <v>-300351.00062723615</v>
      </c>
    </row>
    <row r="100" spans="1:30" s="53" customFormat="1" ht="12">
      <c r="A100" s="44"/>
      <c r="B100" s="70"/>
      <c r="C100" s="78" t="s">
        <v>491</v>
      </c>
      <c r="D100" s="273">
        <f>$D$95*(D63)</f>
        <v>3.0165463640823211</v>
      </c>
      <c r="E100" s="236"/>
      <c r="F100" s="275">
        <f>$D100*F97</f>
        <v>0</v>
      </c>
      <c r="G100" s="275">
        <f t="shared" ref="G100:AC100" si="23">$D100*G97</f>
        <v>0</v>
      </c>
      <c r="H100" s="275">
        <f t="shared" si="23"/>
        <v>13727.69431369614</v>
      </c>
      <c r="I100" s="275">
        <f t="shared" si="23"/>
        <v>13854.8084026706</v>
      </c>
      <c r="J100" s="275">
        <f t="shared" si="23"/>
        <v>13981.922491645058</v>
      </c>
      <c r="K100" s="275">
        <f t="shared" si="23"/>
        <v>14109.036580619522</v>
      </c>
      <c r="L100" s="275">
        <f t="shared" si="23"/>
        <v>14236.150669593986</v>
      </c>
      <c r="M100" s="275">
        <f t="shared" si="23"/>
        <v>14363.264758568446</v>
      </c>
      <c r="N100" s="275">
        <f t="shared" si="23"/>
        <v>14490.378847542906</v>
      </c>
      <c r="O100" s="275">
        <f t="shared" si="23"/>
        <v>14452.992854355287</v>
      </c>
      <c r="P100" s="275">
        <f t="shared" si="23"/>
        <v>14415.606861167664</v>
      </c>
      <c r="Q100" s="275">
        <f t="shared" si="23"/>
        <v>14378.220867980042</v>
      </c>
      <c r="R100" s="275">
        <f t="shared" si="23"/>
        <v>14340.834874792419</v>
      </c>
      <c r="S100" s="275">
        <f t="shared" si="23"/>
        <v>14303.448881604792</v>
      </c>
      <c r="T100" s="275">
        <f t="shared" si="23"/>
        <v>14266.062888417175</v>
      </c>
      <c r="U100" s="275">
        <f t="shared" si="23"/>
        <v>14228.676895229552</v>
      </c>
      <c r="V100" s="275">
        <f t="shared" si="23"/>
        <v>14191.290902041925</v>
      </c>
      <c r="W100" s="275">
        <f t="shared" si="23"/>
        <v>14153.904908854303</v>
      </c>
      <c r="X100" s="275">
        <f t="shared" si="23"/>
        <v>14116.518915666678</v>
      </c>
      <c r="Y100" s="275">
        <f t="shared" si="23"/>
        <v>14079.132922479057</v>
      </c>
      <c r="Z100" s="275">
        <f t="shared" si="23"/>
        <v>14041.746929291436</v>
      </c>
      <c r="AA100" s="275">
        <f t="shared" si="23"/>
        <v>14004.360936103814</v>
      </c>
      <c r="AB100" s="275">
        <f t="shared" si="23"/>
        <v>13966.974942916195</v>
      </c>
      <c r="AC100" s="288">
        <f t="shared" si="23"/>
        <v>13929.588949728568</v>
      </c>
      <c r="AD100" s="369">
        <f t="shared" si="19"/>
        <v>311632.6195949656</v>
      </c>
    </row>
    <row r="101" spans="1:30" s="53" customFormat="1" ht="12">
      <c r="A101" s="45"/>
      <c r="B101" s="45"/>
      <c r="C101" s="78"/>
      <c r="D101" s="273"/>
      <c r="E101" s="236"/>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88"/>
      <c r="AD101" s="369">
        <f t="shared" si="19"/>
        <v>0</v>
      </c>
    </row>
    <row r="102" spans="1:30" s="53" customFormat="1" ht="12">
      <c r="A102" s="45"/>
      <c r="B102" s="5" t="s">
        <v>277</v>
      </c>
      <c r="C102" s="78"/>
      <c r="D102" s="273"/>
      <c r="E102" s="236"/>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88"/>
      <c r="AD102" s="369">
        <f t="shared" si="19"/>
        <v>0</v>
      </c>
    </row>
    <row r="103" spans="1:30" s="53" customFormat="1" ht="12">
      <c r="A103" s="44"/>
      <c r="B103" s="5"/>
      <c r="C103" s="78" t="s">
        <v>427</v>
      </c>
      <c r="D103" s="273"/>
      <c r="E103" s="236"/>
      <c r="F103" s="45">
        <f>F17</f>
        <v>0</v>
      </c>
      <c r="G103" s="45">
        <f t="shared" ref="G103:AC103" si="24">G17</f>
        <v>0</v>
      </c>
      <c r="H103" s="45">
        <f t="shared" si="24"/>
        <v>86.190564089544409</v>
      </c>
      <c r="I103" s="45">
        <f t="shared" si="24"/>
        <v>86.988661336035875</v>
      </c>
      <c r="J103" s="45">
        <f t="shared" si="24"/>
        <v>87.786758582527327</v>
      </c>
      <c r="K103" s="45">
        <f t="shared" si="24"/>
        <v>88.584855829018792</v>
      </c>
      <c r="L103" s="45">
        <f t="shared" si="24"/>
        <v>89.382953075510258</v>
      </c>
      <c r="M103" s="45">
        <f t="shared" si="24"/>
        <v>90.18105032200171</v>
      </c>
      <c r="N103" s="45">
        <f t="shared" si="24"/>
        <v>90.979147568493175</v>
      </c>
      <c r="O103" s="45">
        <f t="shared" si="24"/>
        <v>90.74441624593787</v>
      </c>
      <c r="P103" s="45">
        <f t="shared" si="24"/>
        <v>90.509684923382537</v>
      </c>
      <c r="Q103" s="45">
        <f t="shared" si="24"/>
        <v>90.274953600827217</v>
      </c>
      <c r="R103" s="45">
        <f t="shared" si="24"/>
        <v>90.040222278271912</v>
      </c>
      <c r="S103" s="45">
        <f t="shared" si="24"/>
        <v>89.805490955716579</v>
      </c>
      <c r="T103" s="45">
        <f t="shared" si="24"/>
        <v>89.570759633161273</v>
      </c>
      <c r="U103" s="45">
        <f t="shared" si="24"/>
        <v>89.33602831060594</v>
      </c>
      <c r="V103" s="45">
        <f t="shared" si="24"/>
        <v>89.101296988050606</v>
      </c>
      <c r="W103" s="45">
        <f t="shared" si="24"/>
        <v>88.866565665495273</v>
      </c>
      <c r="X103" s="45">
        <f t="shared" si="24"/>
        <v>88.631834342939953</v>
      </c>
      <c r="Y103" s="45">
        <f t="shared" si="24"/>
        <v>88.397103020384634</v>
      </c>
      <c r="Z103" s="45">
        <f t="shared" si="24"/>
        <v>88.162371697829315</v>
      </c>
      <c r="AA103" s="45">
        <f t="shared" si="24"/>
        <v>87.927640375274009</v>
      </c>
      <c r="AB103" s="45">
        <f t="shared" si="24"/>
        <v>87.692909052718704</v>
      </c>
      <c r="AC103" s="283">
        <f t="shared" si="24"/>
        <v>87.458177730163371</v>
      </c>
      <c r="AD103" s="361">
        <f t="shared" si="19"/>
        <v>1956.613445623891</v>
      </c>
    </row>
    <row r="104" spans="1:30" s="53" customFormat="1" ht="12">
      <c r="A104" s="44"/>
      <c r="B104" s="5"/>
      <c r="C104" s="78" t="s">
        <v>443</v>
      </c>
      <c r="D104" s="273"/>
      <c r="E104" s="236"/>
      <c r="F104" s="275">
        <f>F82*$D$95</f>
        <v>-1.1772931527040575</v>
      </c>
      <c r="G104" s="275">
        <f t="shared" ref="G104:AC104" si="25">G82*$D$95</f>
        <v>-1.1699601614362911</v>
      </c>
      <c r="H104" s="275">
        <f t="shared" si="25"/>
        <v>-1.1625767386976547</v>
      </c>
      <c r="I104" s="275">
        <f t="shared" si="25"/>
        <v>-1.1551423624414778</v>
      </c>
      <c r="J104" s="275">
        <f t="shared" si="25"/>
        <v>-1.1476565033907811</v>
      </c>
      <c r="K104" s="275">
        <f t="shared" si="25"/>
        <v>-1.1401186249126676</v>
      </c>
      <c r="L104" s="275">
        <f t="shared" si="25"/>
        <v>-1.1325281828900819</v>
      </c>
      <c r="M104" s="275">
        <f t="shared" si="25"/>
        <v>-1.124884625590886</v>
      </c>
      <c r="N104" s="275">
        <f t="shared" si="25"/>
        <v>-1.117187393534171</v>
      </c>
      <c r="O104" s="275">
        <f t="shared" si="25"/>
        <v>-1.1094359193537429</v>
      </c>
      <c r="P104" s="275">
        <f t="shared" si="25"/>
        <v>-1.1016296276587134</v>
      </c>
      <c r="Q104" s="275">
        <f t="shared" si="25"/>
        <v>-1.0937679348911225</v>
      </c>
      <c r="R104" s="275">
        <f t="shared" si="25"/>
        <v>-1.0858502491805186</v>
      </c>
      <c r="S104" s="275">
        <f t="shared" si="25"/>
        <v>-1.0778759701954206</v>
      </c>
      <c r="T104" s="275">
        <f t="shared" si="25"/>
        <v>-1.0698444889915835</v>
      </c>
      <c r="U104" s="275">
        <f t="shared" si="25"/>
        <v>-1.0617551878569844</v>
      </c>
      <c r="V104" s="275">
        <f t="shared" si="25"/>
        <v>-1.0536074401534554</v>
      </c>
      <c r="W104" s="275">
        <f t="shared" si="25"/>
        <v>-1.0454006101548625</v>
      </c>
      <c r="X104" s="275">
        <f t="shared" si="25"/>
        <v>-1.0371340528817572</v>
      </c>
      <c r="Y104" s="275">
        <f t="shared" si="25"/>
        <v>-1.0288071139324035</v>
      </c>
      <c r="Z104" s="275">
        <f t="shared" si="25"/>
        <v>-1.0204191293100888</v>
      </c>
      <c r="AA104" s="275">
        <f t="shared" si="25"/>
        <v>-1.0119694252466211</v>
      </c>
      <c r="AB104" s="275">
        <f t="shared" si="25"/>
        <v>-1.0034573180219186</v>
      </c>
      <c r="AC104" s="288">
        <f t="shared" si="25"/>
        <v>-0.99488211377958446</v>
      </c>
      <c r="AD104" s="369">
        <f t="shared" si="19"/>
        <v>-26.12318432720685</v>
      </c>
    </row>
    <row r="105" spans="1:30" s="53" customFormat="1" ht="12">
      <c r="A105" s="44"/>
      <c r="B105" s="5"/>
      <c r="C105" s="319" t="s">
        <v>155</v>
      </c>
      <c r="D105" s="273"/>
      <c r="E105" s="236"/>
      <c r="F105" s="275">
        <f>F104*F103</f>
        <v>0</v>
      </c>
      <c r="G105" s="275">
        <f t="shared" ref="G105:AC105" si="26">G104*G103</f>
        <v>0</v>
      </c>
      <c r="H105" s="275">
        <f t="shared" si="26"/>
        <v>-100.20314490573372</v>
      </c>
      <c r="I105" s="275">
        <f t="shared" si="26"/>
        <v>-100.48428776133012</v>
      </c>
      <c r="J105" s="275">
        <f t="shared" si="26"/>
        <v>-100.74904439883395</v>
      </c>
      <c r="K105" s="275">
        <f t="shared" si="26"/>
        <v>-100.99724401586781</v>
      </c>
      <c r="L105" s="275">
        <f t="shared" si="26"/>
        <v>-101.22871342795709</v>
      </c>
      <c r="M105" s="275">
        <f t="shared" si="26"/>
        <v>-101.44327702685774</v>
      </c>
      <c r="N105" s="275">
        <f t="shared" si="26"/>
        <v>-101.64075673800559</v>
      </c>
      <c r="O105" s="275">
        <f t="shared" si="26"/>
        <v>-100.6751148640308</v>
      </c>
      <c r="P105" s="275">
        <f t="shared" si="26"/>
        <v>-99.708150501653378</v>
      </c>
      <c r="Q105" s="275">
        <f t="shared" si="26"/>
        <v>-98.739849572368684</v>
      </c>
      <c r="R105" s="275">
        <f t="shared" si="26"/>
        <v>-97.770197797130848</v>
      </c>
      <c r="S105" s="275">
        <f t="shared" si="26"/>
        <v>-96.79918069276907</v>
      </c>
      <c r="T105" s="275">
        <f t="shared" si="26"/>
        <v>-95.826783568327372</v>
      </c>
      <c r="U105" s="275">
        <f t="shared" si="26"/>
        <v>-94.852991521324284</v>
      </c>
      <c r="V105" s="275">
        <f t="shared" si="26"/>
        <v>-93.87778943393279</v>
      </c>
      <c r="W105" s="275">
        <f t="shared" si="26"/>
        <v>-92.901161969075915</v>
      </c>
      <c r="X105" s="275">
        <f t="shared" si="26"/>
        <v>-91.923093566437828</v>
      </c>
      <c r="Y105" s="275">
        <f t="shared" si="26"/>
        <v>-90.943568438387274</v>
      </c>
      <c r="Z105" s="275">
        <f t="shared" si="26"/>
        <v>-89.962570565811404</v>
      </c>
      <c r="AA105" s="275">
        <f t="shared" si="26"/>
        <v>-88.980083693857637</v>
      </c>
      <c r="AB105" s="275">
        <f t="shared" si="26"/>
        <v>-87.996091327581141</v>
      </c>
      <c r="AC105" s="288">
        <f t="shared" si="26"/>
        <v>-87.010576727495518</v>
      </c>
      <c r="AD105" s="369">
        <f t="shared" si="19"/>
        <v>-2114.7136725147698</v>
      </c>
    </row>
    <row r="106" spans="1:30" s="53" customFormat="1" ht="12">
      <c r="A106" s="44"/>
      <c r="B106" s="5"/>
      <c r="C106" s="78" t="s">
        <v>444</v>
      </c>
      <c r="D106" s="273">
        <f>D90</f>
        <v>5.9830927281646424</v>
      </c>
      <c r="E106" s="236"/>
      <c r="F106" s="275">
        <f>$D106*F103</f>
        <v>0</v>
      </c>
      <c r="G106" s="275">
        <f t="shared" ref="G106:AC106" si="27">$D106*G103</f>
        <v>0</v>
      </c>
      <c r="H106" s="275">
        <f t="shared" si="27"/>
        <v>515.68613724056172</v>
      </c>
      <c r="I106" s="275">
        <f t="shared" si="27"/>
        <v>520.46122707241307</v>
      </c>
      <c r="J106" s="275">
        <f t="shared" si="27"/>
        <v>525.2363169042643</v>
      </c>
      <c r="K106" s="275">
        <f t="shared" si="27"/>
        <v>530.01140673611553</v>
      </c>
      <c r="L106" s="275">
        <f t="shared" si="27"/>
        <v>534.78649656796688</v>
      </c>
      <c r="M106" s="275">
        <f t="shared" si="27"/>
        <v>539.56158639981811</v>
      </c>
      <c r="N106" s="275">
        <f t="shared" si="27"/>
        <v>544.33667623166946</v>
      </c>
      <c r="O106" s="275">
        <f t="shared" si="27"/>
        <v>542.93225696261629</v>
      </c>
      <c r="P106" s="275">
        <f t="shared" si="27"/>
        <v>541.52783769356301</v>
      </c>
      <c r="Q106" s="275">
        <f t="shared" si="27"/>
        <v>540.12341842450985</v>
      </c>
      <c r="R106" s="275">
        <f t="shared" si="27"/>
        <v>538.71899915545669</v>
      </c>
      <c r="S106" s="275">
        <f t="shared" si="27"/>
        <v>537.31457988640341</v>
      </c>
      <c r="T106" s="275">
        <f t="shared" si="27"/>
        <v>535.91016061735036</v>
      </c>
      <c r="U106" s="275">
        <f t="shared" si="27"/>
        <v>534.50574134829708</v>
      </c>
      <c r="V106" s="275">
        <f t="shared" si="27"/>
        <v>533.10132207924369</v>
      </c>
      <c r="W106" s="275">
        <f t="shared" si="27"/>
        <v>531.69690281019041</v>
      </c>
      <c r="X106" s="275">
        <f t="shared" si="27"/>
        <v>530.29248354113724</v>
      </c>
      <c r="Y106" s="275">
        <f t="shared" si="27"/>
        <v>528.88806427208408</v>
      </c>
      <c r="Z106" s="275">
        <f t="shared" si="27"/>
        <v>527.4836450030308</v>
      </c>
      <c r="AA106" s="275">
        <f t="shared" si="27"/>
        <v>526.07922573397775</v>
      </c>
      <c r="AB106" s="275">
        <f t="shared" si="27"/>
        <v>524.67480646492459</v>
      </c>
      <c r="AC106" s="288">
        <f t="shared" si="27"/>
        <v>523.27038719587131</v>
      </c>
      <c r="AD106" s="369">
        <f t="shared" si="19"/>
        <v>11706.599678341465</v>
      </c>
    </row>
    <row r="107" spans="1:30" s="53" customFormat="1" ht="12">
      <c r="A107" s="45"/>
      <c r="B107" s="5"/>
      <c r="C107" s="78"/>
      <c r="D107" s="273"/>
      <c r="E107" s="236"/>
      <c r="F107" s="45"/>
      <c r="G107" s="57"/>
      <c r="AC107" s="283"/>
      <c r="AD107" s="361">
        <f t="shared" ref="AD107:AD175" si="28">SUM(F107:AC107)</f>
        <v>0</v>
      </c>
    </row>
    <row r="108" spans="1:30" s="53" customFormat="1" ht="12">
      <c r="A108" s="45"/>
      <c r="B108" s="55"/>
      <c r="C108" s="5" t="s">
        <v>503</v>
      </c>
      <c r="D108" s="273"/>
      <c r="E108" s="239"/>
      <c r="F108" s="83">
        <f>F99+F100+F105+F106</f>
        <v>0</v>
      </c>
      <c r="G108" s="83">
        <f t="shared" ref="G108:AC108" si="29">G99+G100+G105+G106</f>
        <v>0</v>
      </c>
      <c r="H108" s="83">
        <f t="shared" si="29"/>
        <v>540.3125314105182</v>
      </c>
      <c r="I108" s="83">
        <f t="shared" si="29"/>
        <v>580.10798449940296</v>
      </c>
      <c r="J108" s="83">
        <f t="shared" si="29"/>
        <v>620.78500406798435</v>
      </c>
      <c r="K108" s="83">
        <f t="shared" si="29"/>
        <v>662.35277915853226</v>
      </c>
      <c r="L108" s="83">
        <f t="shared" si="29"/>
        <v>704.82062696837988</v>
      </c>
      <c r="M108" s="83">
        <f t="shared" si="29"/>
        <v>748.19799509188374</v>
      </c>
      <c r="N108" s="83">
        <f t="shared" si="29"/>
        <v>792.49446380960524</v>
      </c>
      <c r="O108" s="83">
        <f t="shared" si="29"/>
        <v>828.29234743154075</v>
      </c>
      <c r="P108" s="83">
        <f t="shared" si="29"/>
        <v>864.16137995671647</v>
      </c>
      <c r="Q108" s="83">
        <f t="shared" si="29"/>
        <v>900.10231879832634</v>
      </c>
      <c r="R108" s="83">
        <f t="shared" si="29"/>
        <v>936.11593215853554</v>
      </c>
      <c r="S108" s="83">
        <f t="shared" si="29"/>
        <v>972.20299922127674</v>
      </c>
      <c r="T108" s="83">
        <f t="shared" si="29"/>
        <v>1008.36431034918</v>
      </c>
      <c r="U108" s="83">
        <f t="shared" si="29"/>
        <v>1044.6006672847775</v>
      </c>
      <c r="V108" s="83">
        <f t="shared" si="29"/>
        <v>1080.9128833560508</v>
      </c>
      <c r="W108" s="83">
        <f t="shared" si="29"/>
        <v>1117.301783686456</v>
      </c>
      <c r="X108" s="83">
        <f t="shared" si="29"/>
        <v>1153.7682054095367</v>
      </c>
      <c r="Y108" s="83">
        <f t="shared" si="29"/>
        <v>1190.3129978882457</v>
      </c>
      <c r="Z108" s="83">
        <f t="shared" si="29"/>
        <v>1226.9370229390674</v>
      </c>
      <c r="AA108" s="83">
        <f t="shared" si="29"/>
        <v>1263.6411550611151</v>
      </c>
      <c r="AB108" s="83">
        <f t="shared" si="29"/>
        <v>1300.4262816702837</v>
      </c>
      <c r="AC108" s="292">
        <f t="shared" si="29"/>
        <v>1337.2933033386298</v>
      </c>
      <c r="AD108" s="378">
        <f t="shared" si="28"/>
        <v>20873.504973556046</v>
      </c>
    </row>
    <row r="109" spans="1:30" s="53" customFormat="1" ht="12">
      <c r="A109" s="45"/>
      <c r="B109" s="45"/>
      <c r="D109" s="228"/>
      <c r="E109" s="236"/>
      <c r="F109" s="45"/>
      <c r="G109" s="57"/>
      <c r="AC109" s="283"/>
      <c r="AD109" s="361">
        <f t="shared" si="28"/>
        <v>0</v>
      </c>
    </row>
    <row r="110" spans="1:30" s="53" customFormat="1" ht="12">
      <c r="A110" s="45"/>
      <c r="B110" s="5" t="s">
        <v>524</v>
      </c>
      <c r="C110" s="5"/>
      <c r="D110" s="228"/>
      <c r="E110" s="236"/>
      <c r="G110" s="57"/>
      <c r="AC110" s="283"/>
      <c r="AD110" s="361">
        <f t="shared" si="28"/>
        <v>0</v>
      </c>
    </row>
    <row r="111" spans="1:30" s="53" customFormat="1" ht="12">
      <c r="A111" s="45"/>
      <c r="B111" s="55" t="s">
        <v>525</v>
      </c>
      <c r="C111" s="244" t="s">
        <v>526</v>
      </c>
      <c r="D111" s="307">
        <v>5.3999999999999999E-2</v>
      </c>
      <c r="E111" s="236"/>
      <c r="G111" s="57"/>
      <c r="AC111" s="283"/>
      <c r="AD111" s="361">
        <f t="shared" si="28"/>
        <v>0</v>
      </c>
    </row>
    <row r="112" spans="1:30" s="53" customFormat="1" ht="12">
      <c r="A112" s="45"/>
      <c r="C112" s="70" t="s">
        <v>522</v>
      </c>
      <c r="D112" s="228"/>
      <c r="E112" s="236"/>
      <c r="F112" s="275">
        <f>-F23*$D$111</f>
        <v>0</v>
      </c>
      <c r="G112" s="275">
        <f t="shared" ref="G112:AC112" si="30">-G23*$D$111</f>
        <v>0</v>
      </c>
      <c r="H112" s="275">
        <f t="shared" si="30"/>
        <v>2441.3746802561818</v>
      </c>
      <c r="I112" s="275">
        <f t="shared" si="30"/>
        <v>2463.9810343338986</v>
      </c>
      <c r="J112" s="275">
        <f t="shared" si="30"/>
        <v>2486.5873884116154</v>
      </c>
      <c r="K112" s="275">
        <f t="shared" si="30"/>
        <v>2509.1937424893331</v>
      </c>
      <c r="L112" s="275">
        <f t="shared" si="30"/>
        <v>2531.8000965670508</v>
      </c>
      <c r="M112" s="275">
        <f t="shared" si="30"/>
        <v>2554.406450644768</v>
      </c>
      <c r="N112" s="275">
        <f t="shared" si="30"/>
        <v>2577.0128047224853</v>
      </c>
      <c r="O112" s="275">
        <f t="shared" si="30"/>
        <v>2570.3639666089043</v>
      </c>
      <c r="P112" s="275">
        <f t="shared" si="30"/>
        <v>2563.7151284953229</v>
      </c>
      <c r="Q112" s="275">
        <f t="shared" si="30"/>
        <v>2557.0662903817424</v>
      </c>
      <c r="R112" s="275">
        <f t="shared" si="30"/>
        <v>2550.4174522681619</v>
      </c>
      <c r="S112" s="275">
        <f t="shared" si="30"/>
        <v>2543.7686141545796</v>
      </c>
      <c r="T112" s="275">
        <f t="shared" si="30"/>
        <v>2537.1197760409996</v>
      </c>
      <c r="U112" s="275">
        <f t="shared" si="30"/>
        <v>2530.4709379274186</v>
      </c>
      <c r="V112" s="275">
        <f t="shared" si="30"/>
        <v>2523.8220998138372</v>
      </c>
      <c r="W112" s="275">
        <f t="shared" si="30"/>
        <v>2517.1732617002567</v>
      </c>
      <c r="X112" s="275">
        <f t="shared" si="30"/>
        <v>2510.5244235866744</v>
      </c>
      <c r="Y112" s="275">
        <f t="shared" si="30"/>
        <v>2503.8755854730944</v>
      </c>
      <c r="Z112" s="275">
        <f t="shared" si="30"/>
        <v>2497.2267473595134</v>
      </c>
      <c r="AA112" s="275">
        <f t="shared" si="30"/>
        <v>2490.5779092459325</v>
      </c>
      <c r="AB112" s="275">
        <f t="shared" si="30"/>
        <v>2483.929071132352</v>
      </c>
      <c r="AC112" s="288">
        <f t="shared" si="30"/>
        <v>2477.2802330187701</v>
      </c>
      <c r="AD112" s="369">
        <f t="shared" si="28"/>
        <v>55421.687694632885</v>
      </c>
    </row>
    <row r="113" spans="1:30" s="53" customFormat="1" ht="12">
      <c r="A113" s="45"/>
      <c r="B113" s="45"/>
      <c r="C113" s="244" t="s">
        <v>531</v>
      </c>
      <c r="D113" s="228">
        <v>3.2</v>
      </c>
      <c r="E113" s="236"/>
      <c r="G113" s="57"/>
      <c r="AC113" s="283"/>
      <c r="AD113" s="361">
        <f t="shared" si="28"/>
        <v>0</v>
      </c>
    </row>
    <row r="114" spans="1:30" s="53" customFormat="1" ht="12">
      <c r="A114" s="45"/>
      <c r="B114" s="45"/>
      <c r="C114" s="243" t="s">
        <v>400</v>
      </c>
      <c r="D114" s="273">
        <v>13.91</v>
      </c>
      <c r="E114" s="236"/>
      <c r="G114" s="57"/>
      <c r="AC114" s="283"/>
      <c r="AD114" s="361">
        <f t="shared" si="28"/>
        <v>0</v>
      </c>
    </row>
    <row r="115" spans="1:30" s="53" customFormat="1" ht="12">
      <c r="A115" s="45"/>
      <c r="B115" s="45"/>
      <c r="C115" s="70" t="s">
        <v>581</v>
      </c>
      <c r="D115" s="228"/>
      <c r="E115" s="236"/>
      <c r="F115" s="308">
        <f>($D$113/3600)*$D$114*F30</f>
        <v>0</v>
      </c>
      <c r="G115" s="308">
        <f t="shared" ref="G115:AC115" si="31">($D$113/3600)*$D$114*G30</f>
        <v>0</v>
      </c>
      <c r="H115" s="308">
        <f t="shared" si="31"/>
        <v>68141.154517142961</v>
      </c>
      <c r="I115" s="308">
        <f t="shared" si="31"/>
        <v>68772.119964084253</v>
      </c>
      <c r="J115" s="308">
        <f t="shared" si="31"/>
        <v>69403.085411025531</v>
      </c>
      <c r="K115" s="308">
        <f t="shared" si="31"/>
        <v>70034.050857966795</v>
      </c>
      <c r="L115" s="308">
        <f t="shared" si="31"/>
        <v>70665.016304908102</v>
      </c>
      <c r="M115" s="308">
        <f t="shared" si="31"/>
        <v>71295.98175184938</v>
      </c>
      <c r="N115" s="308">
        <f t="shared" si="31"/>
        <v>71926.947198790658</v>
      </c>
      <c r="O115" s="308">
        <f t="shared" si="31"/>
        <v>71741.371625765794</v>
      </c>
      <c r="P115" s="308">
        <f t="shared" si="31"/>
        <v>71555.796052740901</v>
      </c>
      <c r="Q115" s="308">
        <f t="shared" si="31"/>
        <v>71370.220479716008</v>
      </c>
      <c r="R115" s="308">
        <f t="shared" si="31"/>
        <v>71184.644906691159</v>
      </c>
      <c r="S115" s="308">
        <f t="shared" si="31"/>
        <v>70999.069333666252</v>
      </c>
      <c r="T115" s="308">
        <f t="shared" si="31"/>
        <v>70813.493760641344</v>
      </c>
      <c r="U115" s="308">
        <f t="shared" si="31"/>
        <v>70627.91818761648</v>
      </c>
      <c r="V115" s="308">
        <f t="shared" si="31"/>
        <v>70442.342614591573</v>
      </c>
      <c r="W115" s="308">
        <f t="shared" si="31"/>
        <v>70256.76704156668</v>
      </c>
      <c r="X115" s="308">
        <f t="shared" si="31"/>
        <v>70071.191468541787</v>
      </c>
      <c r="Y115" s="308">
        <f t="shared" si="31"/>
        <v>69885.615895516908</v>
      </c>
      <c r="Z115" s="308">
        <f t="shared" si="31"/>
        <v>69700.04032249203</v>
      </c>
      <c r="AA115" s="308">
        <f t="shared" si="31"/>
        <v>69514.464749467123</v>
      </c>
      <c r="AB115" s="308">
        <f t="shared" si="31"/>
        <v>69328.889176442273</v>
      </c>
      <c r="AC115" s="411">
        <f t="shared" si="31"/>
        <v>69143.313603417366</v>
      </c>
      <c r="AD115" s="379">
        <f t="shared" si="28"/>
        <v>1546873.4952246412</v>
      </c>
    </row>
    <row r="116" spans="1:30" s="53" customFormat="1" ht="12">
      <c r="A116" s="45"/>
      <c r="B116" s="55" t="s">
        <v>404</v>
      </c>
      <c r="C116" s="244" t="s">
        <v>532</v>
      </c>
      <c r="D116" s="228">
        <v>5</v>
      </c>
      <c r="E116" s="236"/>
      <c r="G116" s="57"/>
      <c r="AC116" s="283"/>
      <c r="AD116" s="361">
        <f t="shared" si="28"/>
        <v>0</v>
      </c>
    </row>
    <row r="117" spans="1:30" s="53" customFormat="1" ht="12">
      <c r="A117" s="45"/>
      <c r="B117" s="45"/>
      <c r="C117" s="243" t="s">
        <v>400</v>
      </c>
      <c r="D117" s="273">
        <v>13.91</v>
      </c>
      <c r="E117" s="236"/>
      <c r="F117" s="45"/>
      <c r="G117" s="57"/>
      <c r="AC117" s="283"/>
      <c r="AD117" s="361">
        <f t="shared" si="28"/>
        <v>0</v>
      </c>
    </row>
    <row r="118" spans="1:30" s="53" customFormat="1" ht="12">
      <c r="A118" s="45"/>
      <c r="B118" s="45"/>
      <c r="C118" s="243" t="s">
        <v>538</v>
      </c>
      <c r="D118" s="344">
        <f>'Mode Operating Assumptions'!C45</f>
        <v>8.4250000000000002E-3</v>
      </c>
      <c r="E118" s="236"/>
      <c r="F118" s="45"/>
      <c r="G118" s="57"/>
      <c r="AC118" s="283"/>
      <c r="AD118" s="361">
        <f t="shared" si="28"/>
        <v>0</v>
      </c>
    </row>
    <row r="119" spans="1:30" s="53" customFormat="1" ht="12">
      <c r="A119" s="45"/>
      <c r="B119" s="45"/>
      <c r="C119" s="70" t="s">
        <v>533</v>
      </c>
      <c r="D119" s="228"/>
      <c r="E119" s="236"/>
      <c r="F119" s="275">
        <f>-(($D$116/3600*$D$117)+$D$118)*F28</f>
        <v>0</v>
      </c>
      <c r="G119" s="275">
        <f>-(($D$116/3600*$D$117)+$D$118)*G28</f>
        <v>-151580.98466782394</v>
      </c>
      <c r="H119" s="275">
        <f>-(($D$116/3600*$D$117)+$D$118)*H28</f>
        <v>0</v>
      </c>
      <c r="I119" s="275">
        <f>-(($D$116/3600*$D$117)+$D$118)*I28</f>
        <v>0</v>
      </c>
      <c r="J119" s="45">
        <f>-(($D$116/3600*$D$117)+$D$118)*J28</f>
        <v>0</v>
      </c>
      <c r="AC119" s="283"/>
      <c r="AD119" s="361">
        <f t="shared" si="28"/>
        <v>-151580.98466782394</v>
      </c>
    </row>
    <row r="120" spans="1:30" s="53" customFormat="1" ht="12">
      <c r="A120" s="45"/>
      <c r="B120" s="45"/>
      <c r="C120" s="5"/>
      <c r="D120" s="228"/>
      <c r="E120" s="236"/>
      <c r="F120" s="45"/>
      <c r="G120" s="57"/>
      <c r="AC120" s="283"/>
      <c r="AD120" s="361">
        <f t="shared" si="28"/>
        <v>0</v>
      </c>
    </row>
    <row r="121" spans="1:30" s="53" customFormat="1" ht="12">
      <c r="A121" s="45"/>
      <c r="B121" s="45"/>
      <c r="C121" s="5" t="s">
        <v>534</v>
      </c>
      <c r="D121" s="228"/>
      <c r="E121" s="236"/>
      <c r="F121" s="309">
        <f>F112+F115+F119</f>
        <v>0</v>
      </c>
      <c r="G121" s="309">
        <f t="shared" ref="G121:AC121" si="32">G112+G115+G119</f>
        <v>-151580.98466782394</v>
      </c>
      <c r="H121" s="309">
        <f t="shared" si="32"/>
        <v>70582.529197399141</v>
      </c>
      <c r="I121" s="309">
        <f t="shared" si="32"/>
        <v>71236.100998418158</v>
      </c>
      <c r="J121" s="309">
        <f t="shared" si="32"/>
        <v>71889.672799437147</v>
      </c>
      <c r="K121" s="309">
        <f t="shared" si="32"/>
        <v>72543.244600456121</v>
      </c>
      <c r="L121" s="309">
        <f t="shared" si="32"/>
        <v>73196.816401475153</v>
      </c>
      <c r="M121" s="309">
        <f t="shared" si="32"/>
        <v>73850.388202494141</v>
      </c>
      <c r="N121" s="309">
        <f t="shared" si="32"/>
        <v>74503.960003513144</v>
      </c>
      <c r="O121" s="309">
        <f t="shared" si="32"/>
        <v>74311.735592374695</v>
      </c>
      <c r="P121" s="309">
        <f t="shared" si="32"/>
        <v>74119.51118123623</v>
      </c>
      <c r="Q121" s="309">
        <f t="shared" si="32"/>
        <v>73927.286770097751</v>
      </c>
      <c r="R121" s="309">
        <f t="shared" si="32"/>
        <v>73735.062358959316</v>
      </c>
      <c r="S121" s="309">
        <f t="shared" si="32"/>
        <v>73542.837947820837</v>
      </c>
      <c r="T121" s="309">
        <f t="shared" si="32"/>
        <v>73350.613536682344</v>
      </c>
      <c r="U121" s="309">
        <f t="shared" si="32"/>
        <v>73158.389125543894</v>
      </c>
      <c r="V121" s="309">
        <f t="shared" si="32"/>
        <v>72966.164714405415</v>
      </c>
      <c r="W121" s="309">
        <f t="shared" si="32"/>
        <v>72773.940303266936</v>
      </c>
      <c r="X121" s="309">
        <f t="shared" si="32"/>
        <v>72581.715892128457</v>
      </c>
      <c r="Y121" s="309">
        <f t="shared" si="32"/>
        <v>72389.491480990007</v>
      </c>
      <c r="Z121" s="309">
        <f t="shared" si="32"/>
        <v>72197.267069851543</v>
      </c>
      <c r="AA121" s="309">
        <f t="shared" si="32"/>
        <v>72005.04265871305</v>
      </c>
      <c r="AB121" s="309">
        <f t="shared" si="32"/>
        <v>71812.818247574629</v>
      </c>
      <c r="AC121" s="340">
        <f t="shared" si="32"/>
        <v>71620.593836436135</v>
      </c>
      <c r="AD121" s="370">
        <f t="shared" si="28"/>
        <v>1450714.1982514502</v>
      </c>
    </row>
    <row r="122" spans="1:30" s="53" customFormat="1" ht="12">
      <c r="A122" s="45"/>
      <c r="B122" s="45"/>
      <c r="C122" s="5"/>
      <c r="D122" s="228"/>
      <c r="E122" s="236"/>
      <c r="F122" s="45"/>
      <c r="G122" s="57"/>
      <c r="AC122" s="283"/>
      <c r="AD122" s="361">
        <f t="shared" si="28"/>
        <v>0</v>
      </c>
    </row>
    <row r="123" spans="1:30" s="53" customFormat="1" ht="12">
      <c r="A123" s="45"/>
      <c r="B123" s="55" t="s">
        <v>518</v>
      </c>
      <c r="C123" s="5"/>
      <c r="D123" s="228"/>
      <c r="E123" s="236"/>
      <c r="F123" s="252">
        <f>F24</f>
        <v>0</v>
      </c>
      <c r="G123" s="252">
        <f t="shared" ref="G123:AC123" si="33">G24</f>
        <v>0</v>
      </c>
      <c r="H123" s="252">
        <f t="shared" si="33"/>
        <v>7787.5944565499867</v>
      </c>
      <c r="I123" s="252">
        <f t="shared" si="33"/>
        <v>7686.4748614553946</v>
      </c>
      <c r="J123" s="252">
        <f t="shared" si="33"/>
        <v>7589.7165543778956</v>
      </c>
      <c r="K123" s="252">
        <f t="shared" si="33"/>
        <v>7497.0433379921051</v>
      </c>
      <c r="L123" s="252">
        <f t="shared" si="33"/>
        <v>7408.2018546768577</v>
      </c>
      <c r="M123" s="252">
        <f t="shared" si="33"/>
        <v>7322.9592734668231</v>
      </c>
      <c r="N123" s="252">
        <f t="shared" si="33"/>
        <v>7241.1012525231854</v>
      </c>
      <c r="O123" s="252">
        <f t="shared" si="33"/>
        <v>7218.5941939437007</v>
      </c>
      <c r="P123" s="252">
        <f t="shared" si="33"/>
        <v>7196.1109598355461</v>
      </c>
      <c r="Q123" s="252">
        <f t="shared" si="33"/>
        <v>7173.6515123902373</v>
      </c>
      <c r="R123" s="252">
        <f t="shared" si="33"/>
        <v>7151.2158138792483</v>
      </c>
      <c r="S123" s="252">
        <f t="shared" si="33"/>
        <v>7128.803826653796</v>
      </c>
      <c r="T123" s="252">
        <f t="shared" si="33"/>
        <v>7106.4155131446469</v>
      </c>
      <c r="U123" s="252">
        <f t="shared" si="33"/>
        <v>7084.050835861879</v>
      </c>
      <c r="V123" s="252">
        <f t="shared" si="33"/>
        <v>7061.7097573946958</v>
      </c>
      <c r="W123" s="252">
        <f t="shared" si="33"/>
        <v>7039.3922404112118</v>
      </c>
      <c r="X123" s="252">
        <f t="shared" si="33"/>
        <v>7017.0982476582303</v>
      </c>
      <c r="Y123" s="252">
        <f t="shared" si="33"/>
        <v>6994.8277419610667</v>
      </c>
      <c r="Z123" s="252">
        <f t="shared" si="33"/>
        <v>6972.5806862233094</v>
      </c>
      <c r="AA123" s="252">
        <f t="shared" si="33"/>
        <v>6950.3570434266294</v>
      </c>
      <c r="AB123" s="252">
        <f t="shared" si="33"/>
        <v>6928.1567766305798</v>
      </c>
      <c r="AC123" s="286">
        <f t="shared" si="33"/>
        <v>6905.9798489723762</v>
      </c>
      <c r="AD123" s="371">
        <f t="shared" si="28"/>
        <v>158462.03658942939</v>
      </c>
    </row>
    <row r="124" spans="1:30" s="5" customFormat="1" ht="12">
      <c r="A124" s="58"/>
      <c r="B124" s="58"/>
      <c r="C124" s="5" t="s">
        <v>612</v>
      </c>
      <c r="D124" s="231"/>
      <c r="E124" s="239"/>
      <c r="F124" s="83">
        <f>F123</f>
        <v>0</v>
      </c>
      <c r="G124" s="83">
        <f t="shared" ref="G124:AC124" si="34">G123</f>
        <v>0</v>
      </c>
      <c r="H124" s="83">
        <f t="shared" si="34"/>
        <v>7787.5944565499867</v>
      </c>
      <c r="I124" s="83">
        <f>I123</f>
        <v>7686.4748614553946</v>
      </c>
      <c r="J124" s="83">
        <f t="shared" si="34"/>
        <v>7589.7165543778956</v>
      </c>
      <c r="K124" s="83">
        <f t="shared" si="34"/>
        <v>7497.0433379921051</v>
      </c>
      <c r="L124" s="83">
        <f t="shared" si="34"/>
        <v>7408.2018546768577</v>
      </c>
      <c r="M124" s="83">
        <f t="shared" si="34"/>
        <v>7322.9592734668231</v>
      </c>
      <c r="N124" s="83">
        <f t="shared" si="34"/>
        <v>7241.1012525231854</v>
      </c>
      <c r="O124" s="83">
        <f t="shared" si="34"/>
        <v>7218.5941939437007</v>
      </c>
      <c r="P124" s="83">
        <f t="shared" si="34"/>
        <v>7196.1109598355461</v>
      </c>
      <c r="Q124" s="83">
        <f t="shared" si="34"/>
        <v>7173.6515123902373</v>
      </c>
      <c r="R124" s="83">
        <f t="shared" si="34"/>
        <v>7151.2158138792483</v>
      </c>
      <c r="S124" s="83">
        <f t="shared" si="34"/>
        <v>7128.803826653796</v>
      </c>
      <c r="T124" s="83">
        <f t="shared" si="34"/>
        <v>7106.4155131446469</v>
      </c>
      <c r="U124" s="83">
        <f t="shared" si="34"/>
        <v>7084.050835861879</v>
      </c>
      <c r="V124" s="83">
        <f t="shared" si="34"/>
        <v>7061.7097573946958</v>
      </c>
      <c r="W124" s="83">
        <f t="shared" si="34"/>
        <v>7039.3922404112118</v>
      </c>
      <c r="X124" s="83">
        <f t="shared" si="34"/>
        <v>7017.0982476582303</v>
      </c>
      <c r="Y124" s="83">
        <f t="shared" si="34"/>
        <v>6994.8277419610667</v>
      </c>
      <c r="Z124" s="83">
        <f t="shared" si="34"/>
        <v>6972.5806862233094</v>
      </c>
      <c r="AA124" s="83">
        <f t="shared" si="34"/>
        <v>6950.3570434266294</v>
      </c>
      <c r="AB124" s="83">
        <f t="shared" si="34"/>
        <v>6928.1567766305798</v>
      </c>
      <c r="AC124" s="292">
        <f t="shared" si="34"/>
        <v>6905.9798489723762</v>
      </c>
      <c r="AD124" s="378">
        <f t="shared" si="28"/>
        <v>158462.03658942939</v>
      </c>
    </row>
    <row r="125" spans="1:30" s="112" customFormat="1" ht="12">
      <c r="A125" s="109"/>
      <c r="B125" s="109"/>
      <c r="C125" s="110"/>
      <c r="D125" s="227"/>
      <c r="E125" s="235"/>
      <c r="F125" s="111"/>
      <c r="G125" s="111"/>
      <c r="H125" s="111"/>
      <c r="I125" s="111"/>
      <c r="J125" s="111"/>
      <c r="K125" s="111"/>
      <c r="L125" s="111"/>
      <c r="M125" s="111"/>
      <c r="N125" s="111"/>
      <c r="O125" s="111"/>
      <c r="P125" s="111"/>
      <c r="Q125" s="111"/>
      <c r="R125" s="111"/>
      <c r="S125" s="111"/>
      <c r="T125" s="111"/>
      <c r="U125" s="111"/>
      <c r="V125" s="111"/>
      <c r="W125" s="111"/>
      <c r="X125" s="111"/>
      <c r="Y125" s="111"/>
      <c r="Z125" s="111"/>
      <c r="AC125" s="282"/>
      <c r="AD125" s="360">
        <f t="shared" si="28"/>
        <v>0</v>
      </c>
    </row>
    <row r="126" spans="1:30" s="53" customFormat="1" ht="12">
      <c r="A126" s="58" t="s">
        <v>360</v>
      </c>
      <c r="B126" s="58"/>
      <c r="D126" s="228"/>
      <c r="E126" s="236"/>
      <c r="F126" s="45"/>
      <c r="G126" s="57"/>
      <c r="AC126" s="283"/>
      <c r="AD126" s="361">
        <f t="shared" si="28"/>
        <v>0</v>
      </c>
    </row>
    <row r="127" spans="1:30" s="53" customFormat="1" ht="12">
      <c r="A127" s="55"/>
      <c r="B127" s="55"/>
      <c r="D127" s="228"/>
      <c r="E127" s="236"/>
      <c r="F127" s="45"/>
      <c r="G127" s="57"/>
      <c r="AC127" s="283"/>
      <c r="AD127" s="361">
        <f t="shared" si="28"/>
        <v>0</v>
      </c>
    </row>
    <row r="128" spans="1:30" s="53" customFormat="1" ht="12">
      <c r="A128" s="45"/>
      <c r="B128" s="45"/>
      <c r="C128" s="46" t="s">
        <v>88</v>
      </c>
      <c r="D128" s="228"/>
      <c r="E128" s="236"/>
      <c r="F128" s="45"/>
      <c r="G128" s="57"/>
      <c r="L128" s="61"/>
      <c r="AC128" s="283"/>
      <c r="AD128" s="361">
        <f t="shared" si="28"/>
        <v>0</v>
      </c>
    </row>
    <row r="129" spans="1:30" s="53" customFormat="1" ht="12">
      <c r="A129" s="45"/>
      <c r="B129" s="45"/>
      <c r="C129" s="78" t="s">
        <v>42</v>
      </c>
      <c r="D129" s="228"/>
      <c r="E129" s="236"/>
      <c r="F129" s="45"/>
      <c r="G129" s="57"/>
      <c r="L129" s="61"/>
      <c r="AC129" s="283"/>
      <c r="AD129" s="361">
        <f t="shared" si="28"/>
        <v>0</v>
      </c>
    </row>
    <row r="130" spans="1:30" s="53" customFormat="1" ht="12">
      <c r="A130" s="45"/>
      <c r="B130" s="45"/>
      <c r="C130" s="48" t="s">
        <v>97</v>
      </c>
      <c r="D130" s="228"/>
      <c r="E130" s="238"/>
      <c r="F130" s="71">
        <f>((('Emissions Assumptions'!D9/907185)+('Emissions Assumptions'!D11/907185))*'Forest Glen'!F36)+(('Emissions Assumptions'!D10/907185)*'Forest Glen'!F37)</f>
        <v>0</v>
      </c>
      <c r="G130" s="71">
        <f>((('Emissions Assumptions'!E9/907185)+('Emissions Assumptions'!E11/907185))*'Forest Glen'!G36)+(('Emissions Assumptions'!E10/907185)*'Forest Glen'!G37)</f>
        <v>0</v>
      </c>
      <c r="H130" s="71">
        <f>((('Emissions Assumptions'!F9/907185)+('Emissions Assumptions'!F11/907185))*'Forest Glen'!H36)+(('Emissions Assumptions'!F10/907185)*'Forest Glen'!H37)</f>
        <v>0</v>
      </c>
      <c r="I130" s="71">
        <f>((('Emissions Assumptions'!G9/907185)+('Emissions Assumptions'!G11/907185))*'Forest Glen'!I36)+(('Emissions Assumptions'!G10/907185)*'Forest Glen'!I37)</f>
        <v>0</v>
      </c>
      <c r="J130" s="71">
        <f>((('Emissions Assumptions'!H9/907185)+('Emissions Assumptions'!H11/907185))*'Forest Glen'!J36)+(('Emissions Assumptions'!H10/907185)*'Forest Glen'!J37)</f>
        <v>-7.0962567339840771E-2</v>
      </c>
      <c r="K130" s="71">
        <f>((('Emissions Assumptions'!I9/907185)+('Emissions Assumptions'!I11/907185))*'Forest Glen'!K36)+(('Emissions Assumptions'!I10/907185)*'Forest Glen'!K37)</f>
        <v>-9.165657642138858E-2</v>
      </c>
      <c r="L130" s="71">
        <f>((('Emissions Assumptions'!J9/907185)+('Emissions Assumptions'!J11/907185))*'Forest Glen'!L36)+(('Emissions Assumptions'!J10/907185)*'Forest Glen'!L37)</f>
        <v>-8.7650600165133347E-2</v>
      </c>
      <c r="M130" s="71">
        <f>((('Emissions Assumptions'!K9/907185)+('Emissions Assumptions'!K11/907185))*'Forest Glen'!M36)+(('Emissions Assumptions'!K10/907185)*'Forest Glen'!M37)</f>
        <v>-8.3472863503172817E-2</v>
      </c>
      <c r="N130" s="71">
        <f>((('Emissions Assumptions'!L9/907185)+('Emissions Assumptions'!L11/907185))*'Forest Glen'!N36)+(('Emissions Assumptions'!L10/907185)*'Forest Glen'!N37)</f>
        <v>-7.9115832371386585E-2</v>
      </c>
      <c r="O130" s="71">
        <f>((('Emissions Assumptions'!M9/907185)+('Emissions Assumptions'!M11/907185))*'Forest Glen'!O36)+(('Emissions Assumptions'!M10/907185)*'Forest Glen'!O37)</f>
        <v>-7.3634295330687466E-2</v>
      </c>
      <c r="P130" s="71">
        <f>((('Emissions Assumptions'!N9/907185)+('Emissions Assumptions'!N11/907185))*'Forest Glen'!P36)+(('Emissions Assumptions'!N10/907185)*'Forest Glen'!P37)</f>
        <v>-7.3244464284420593E-2</v>
      </c>
      <c r="Q130" s="71">
        <f>((('Emissions Assumptions'!O9/907185)+('Emissions Assumptions'!O11/907185))*'Forest Glen'!Q36)+(('Emissions Assumptions'!O10/907185)*'Forest Glen'!Q37)</f>
        <v>-7.2847226313245972E-2</v>
      </c>
      <c r="R130" s="71">
        <f>((('Emissions Assumptions'!P9/907185)+('Emissions Assumptions'!P11/907185))*'Forest Glen'!R36)+(('Emissions Assumptions'!P10/907185)*'Forest Glen'!R37)</f>
        <v>-7.2442452310536906E-2</v>
      </c>
      <c r="S130" s="71">
        <f>((('Emissions Assumptions'!Q9/907185)+('Emissions Assumptions'!Q11/907185))*'Forest Glen'!S36)+(('Emissions Assumptions'!Q10/907185)*'Forest Glen'!S37)</f>
        <v>-7.2030011294453314E-2</v>
      </c>
      <c r="T130" s="71">
        <f>((('Emissions Assumptions'!R9/907185)+('Emissions Assumptions'!R11/907185))*'Forest Glen'!T36)+(('Emissions Assumptions'!R10/907185)*'Forest Glen'!T37)</f>
        <v>-7.1609770383308888E-2</v>
      </c>
      <c r="U130" s="71">
        <f>((('Emissions Assumptions'!S9/907185)+('Emissions Assumptions'!S11/907185))*'Forest Glen'!U36)+(('Emissions Assumptions'!S10/907185)*'Forest Glen'!U37)</f>
        <v>-7.1181594770633377E-2</v>
      </c>
      <c r="V130" s="71">
        <f>((('Emissions Assumptions'!T9/907185)+('Emissions Assumptions'!T11/907185))*'Forest Glen'!V36)+(('Emissions Assumptions'!T10/907185)*'Forest Glen'!V37)</f>
        <v>-7.0745347699925909E-2</v>
      </c>
      <c r="W130" s="71">
        <f>((('Emissions Assumptions'!U9/907185)+('Emissions Assumptions'!U11/907185))*'Forest Glen'!W36)+(('Emissions Assumptions'!U10/907185)*'Forest Glen'!W37)</f>
        <v>-7.0300890439095737E-2</v>
      </c>
      <c r="X130" s="71">
        <f>((('Emissions Assumptions'!V9/907185)+('Emissions Assumptions'!V11/907185))*'Forest Glen'!X36)+(('Emissions Assumptions'!V10/907185)*'Forest Glen'!X37)</f>
        <v>-6.9848082254587149E-2</v>
      </c>
      <c r="Y130" s="71">
        <f>((('Emissions Assumptions'!W9/907185)+('Emissions Assumptions'!W11/907185))*'Forest Glen'!Y36)+(('Emissions Assumptions'!W10/907185)*'Forest Glen'!Y37)</f>
        <v>-6.9386780385183783E-2</v>
      </c>
      <c r="Z130" s="71">
        <f>((('Emissions Assumptions'!X9/907185)+('Emissions Assumptions'!X11/907185))*'Forest Glen'!Z36)+(('Emissions Assumptions'!X10/907185)*'Forest Glen'!Z37)</f>
        <v>-6.9868703009766178E-2</v>
      </c>
      <c r="AA130" s="71">
        <f>((('Emissions Assumptions'!Y9/907185)+('Emissions Assumptions'!Y11/907185))*'Forest Glen'!AA36)+(('Emissions Assumptions'!Y10/907185)*'Forest Glen'!AA37)</f>
        <v>-7.0355288021161727E-2</v>
      </c>
      <c r="AB130" s="71">
        <f>((('Emissions Assumptions'!Z9/907185)+('Emissions Assumptions'!Z11/907185))*'Forest Glen'!AB36)+(('Emissions Assumptions'!Z10/907185)*'Forest Glen'!AB37)</f>
        <v>-7.084658192717741E-2</v>
      </c>
      <c r="AC130" s="412">
        <f>((('Emissions Assumptions'!AA9/907185)+('Emissions Assumptions'!AA11/907185))*'Forest Glen'!AC36)+(('Emissions Assumptions'!AA10/907185)*'Forest Glen'!AC37)</f>
        <v>-7.1342631700612336E-2</v>
      </c>
      <c r="AD130" s="380">
        <f t="shared" si="28"/>
        <v>-1.4825425599257187</v>
      </c>
    </row>
    <row r="131" spans="1:30" s="53" customFormat="1" ht="12">
      <c r="A131" s="45"/>
      <c r="B131" s="45"/>
      <c r="C131" s="48" t="s">
        <v>98</v>
      </c>
      <c r="D131" s="228"/>
      <c r="E131" s="238"/>
      <c r="F131" s="71">
        <f>(('Emissions Assumptions'!D4/907185)*F22)+(('Emissions Assumptions'!D5/907185)*F23)</f>
        <v>0</v>
      </c>
      <c r="G131" s="71">
        <f>(('Emissions Assumptions'!E4/907185)*G22)+(('Emissions Assumptions'!E5/907185)*G23)</f>
        <v>0</v>
      </c>
      <c r="H131" s="71">
        <f>(('Emissions Assumptions'!F4/907185)*H22)+(('Emissions Assumptions'!F5/907185)*H23)</f>
        <v>-1.9354266972021531E-2</v>
      </c>
      <c r="I131" s="71">
        <f>(('Emissions Assumptions'!G4/907185)*I22)+(('Emissions Assumptions'!G5/907185)*I23)</f>
        <v>-1.8156292844302147E-2</v>
      </c>
      <c r="J131" s="71">
        <f>(('Emissions Assumptions'!H4/907185)*J22)+(('Emissions Assumptions'!H5/907185)*J23)</f>
        <v>-1.6933048058850087E-2</v>
      </c>
      <c r="K131" s="71">
        <f>(('Emissions Assumptions'!I4/907185)*K22)+(('Emissions Assumptions'!I5/907185)*K23)</f>
        <v>-1.5684532615665343E-2</v>
      </c>
      <c r="L131" s="71">
        <f>(('Emissions Assumptions'!J4/907185)*L22)+(('Emissions Assumptions'!J5/907185)*L23)</f>
        <v>-1.4410746514747918E-2</v>
      </c>
      <c r="M131" s="71">
        <f>(('Emissions Assumptions'!K4/907185)*M22)+(('Emissions Assumptions'!K5/907185)*M23)</f>
        <v>-1.3111689756097809E-2</v>
      </c>
      <c r="N131" s="71">
        <f>(('Emissions Assumptions'!L4/907185)*N22)+(('Emissions Assumptions'!L5/907185)*N23)</f>
        <v>-1.1787362339715016E-2</v>
      </c>
      <c r="O131" s="71">
        <f>(('Emissions Assumptions'!M4/907185)*O22)+(('Emissions Assumptions'!M5/907185)*O23)</f>
        <v>-1.0320301367773186E-2</v>
      </c>
      <c r="P131" s="71">
        <f>(('Emissions Assumptions'!N4/907185)*P22)+(('Emissions Assumptions'!N5/907185)*P23)</f>
        <v>-1.010556708335832E-2</v>
      </c>
      <c r="Q131" s="71">
        <f>(('Emissions Assumptions'!O4/907185)*Q22)+(('Emissions Assumptions'!O5/907185)*Q23)</f>
        <v>-9.8918081313378332E-3</v>
      </c>
      <c r="R131" s="71">
        <f>(('Emissions Assumptions'!P4/907185)*R22)+(('Emissions Assumptions'!P5/907185)*R23)</f>
        <v>-9.6790245117117195E-3</v>
      </c>
      <c r="S131" s="71">
        <f>(('Emissions Assumptions'!Q4/907185)*S22)+(('Emissions Assumptions'!Q5/907185)*S23)</f>
        <v>-9.4672162244799803E-3</v>
      </c>
      <c r="T131" s="71">
        <f>(('Emissions Assumptions'!R4/907185)*T22)+(('Emissions Assumptions'!R5/907185)*T23)</f>
        <v>-9.2563832696426224E-3</v>
      </c>
      <c r="U131" s="71">
        <f>(('Emissions Assumptions'!S4/907185)*U22)+(('Emissions Assumptions'!S5/907185)*U23)</f>
        <v>-9.0465256471996391E-3</v>
      </c>
      <c r="V131" s="71">
        <f>(('Emissions Assumptions'!T4/907185)*V22)+(('Emissions Assumptions'!T5/907185)*V23)</f>
        <v>-8.8376433571510267E-3</v>
      </c>
      <c r="W131" s="71">
        <f>(('Emissions Assumptions'!U4/907185)*W22)+(('Emissions Assumptions'!U5/907185)*W23)</f>
        <v>-8.629736399496794E-3</v>
      </c>
      <c r="X131" s="71">
        <f>(('Emissions Assumptions'!V4/907185)*X22)+(('Emissions Assumptions'!V5/907185)*X23)</f>
        <v>-8.422804774236934E-3</v>
      </c>
      <c r="Y131" s="71">
        <f>(('Emissions Assumptions'!W4/907185)*Y22)+(('Emissions Assumptions'!W5/907185)*Y23)</f>
        <v>-8.2168484813714554E-3</v>
      </c>
      <c r="Z131" s="71">
        <f>(('Emissions Assumptions'!X4/907185)*Z22)+(('Emissions Assumptions'!X5/907185)*Z23)</f>
        <v>-8.1950293080573222E-3</v>
      </c>
      <c r="AA131" s="71">
        <f>(('Emissions Assumptions'!Y4/907185)*AA22)+(('Emissions Assumptions'!Y5/907185)*AA23)</f>
        <v>-8.173210134743189E-3</v>
      </c>
      <c r="AB131" s="71">
        <f>(('Emissions Assumptions'!Z4/907185)*AB22)+(('Emissions Assumptions'!Z5/907185)*AB23)</f>
        <v>-8.1513909614290593E-3</v>
      </c>
      <c r="AC131" s="412">
        <f>(('Emissions Assumptions'!AA4/907185)*AC22)+(('Emissions Assumptions'!AA5/907185)*AC23)</f>
        <v>-8.1295717881149226E-3</v>
      </c>
      <c r="AD131" s="380">
        <f t="shared" si="28"/>
        <v>-0.24396100054150388</v>
      </c>
    </row>
    <row r="132" spans="1:30" s="53" customFormat="1" ht="12">
      <c r="A132" s="45"/>
      <c r="B132" s="45"/>
      <c r="C132" s="48" t="s">
        <v>99</v>
      </c>
      <c r="D132" s="228"/>
      <c r="E132" s="238"/>
      <c r="F132" s="71">
        <f>(('Emissions Assumptions'!D14/907185)*F22)+(('Emissions Assumptions'!D18/907185)*F23)+(('Emissions Assumptions'!D19/907185)*F22)</f>
        <v>0</v>
      </c>
      <c r="G132" s="71">
        <f>(('Emissions Assumptions'!E14/907185)*G22)+(('Emissions Assumptions'!E18/907185)*G23)+(('Emissions Assumptions'!E19/907185)*G22)</f>
        <v>0</v>
      </c>
      <c r="H132" s="71">
        <f>(('Emissions Assumptions'!F14/907185)*H22)+(('Emissions Assumptions'!F18/907185)*H23)+(('Emissions Assumptions'!F19/907185)*H22)</f>
        <v>-2.763665806529448E-2</v>
      </c>
      <c r="I132" s="71">
        <f>(('Emissions Assumptions'!G14/907185)*I22)+(('Emissions Assumptions'!G18/907185)*I23)+(('Emissions Assumptions'!G19/907185)*I22)</f>
        <v>-2.5892459132831593E-2</v>
      </c>
      <c r="J132" s="71">
        <f>(('Emissions Assumptions'!H14/907185)*J22)+(('Emissions Assumptions'!H18/907185)*J23)+(('Emissions Assumptions'!H19/907185)*J22)</f>
        <v>-2.4111559353297736E-2</v>
      </c>
      <c r="K132" s="71">
        <f>(('Emissions Assumptions'!I14/907185)*K22)+(('Emissions Assumptions'!I18/907185)*K23)+(('Emissions Assumptions'!I19/907185)*K22)</f>
        <v>-2.2293958726692924E-2</v>
      </c>
      <c r="L132" s="71">
        <f>(('Emissions Assumptions'!J14/907185)*L22)+(('Emissions Assumptions'!J18/907185)*L23)+(('Emissions Assumptions'!J19/907185)*L22)</f>
        <v>-2.0439657253017145E-2</v>
      </c>
      <c r="M132" s="71">
        <f>(('Emissions Assumptions'!K14/907185)*M22)+(('Emissions Assumptions'!K18/907185)*M23)+(('Emissions Assumptions'!K19/907185)*M22)</f>
        <v>-1.8548654932270394E-2</v>
      </c>
      <c r="N132" s="71">
        <f>(('Emissions Assumptions'!L14/907185)*N22)+(('Emissions Assumptions'!L18/907185)*N23)+(('Emissions Assumptions'!L19/907185)*N22)</f>
        <v>-1.6620951764452677E-2</v>
      </c>
      <c r="O132" s="71">
        <f>(('Emissions Assumptions'!M14/907185)*O22)+(('Emissions Assumptions'!M18/907185)*O23)+(('Emissions Assumptions'!M19/907185)*O22)</f>
        <v>-1.4491608158384676E-2</v>
      </c>
      <c r="P132" s="71">
        <f>(('Emissions Assumptions'!N14/907185)*P22)+(('Emissions Assumptions'!N18/907185)*P23)+(('Emissions Assumptions'!N19/907185)*P22)</f>
        <v>-1.4066813795899337E-2</v>
      </c>
      <c r="Q132" s="71">
        <f>(('Emissions Assumptions'!O14/907185)*Q22)+(('Emissions Assumptions'!O18/907185)*Q23)+(('Emissions Assumptions'!O19/907185)*Q22)</f>
        <v>-1.3644028355050969E-2</v>
      </c>
      <c r="R132" s="71">
        <f>(('Emissions Assumptions'!P14/907185)*R22)+(('Emissions Assumptions'!P18/907185)*R23)+(('Emissions Assumptions'!P19/907185)*R22)</f>
        <v>-1.3223251835839568E-2</v>
      </c>
      <c r="S132" s="71">
        <f>(('Emissions Assumptions'!Q14/907185)*S22)+(('Emissions Assumptions'!Q18/907185)*S23)+(('Emissions Assumptions'!Q19/907185)*S22)</f>
        <v>-1.2804484238265135E-2</v>
      </c>
      <c r="T132" s="71">
        <f>(('Emissions Assumptions'!R14/907185)*T22)+(('Emissions Assumptions'!R18/907185)*T23)+(('Emissions Assumptions'!R19/907185)*T22)</f>
        <v>-1.2387725562327681E-2</v>
      </c>
      <c r="U132" s="71">
        <f>(('Emissions Assumptions'!S14/907185)*U22)+(('Emissions Assumptions'!S18/907185)*U23)+(('Emissions Assumptions'!S19/907185)*U22)</f>
        <v>-1.1972975808027194E-2</v>
      </c>
      <c r="V132" s="71">
        <f>(('Emissions Assumptions'!T14/907185)*V22)+(('Emissions Assumptions'!T18/907185)*V23)+(('Emissions Assumptions'!T19/907185)*V22)</f>
        <v>-1.1560234975363674E-2</v>
      </c>
      <c r="W132" s="71">
        <f>(('Emissions Assumptions'!U14/907185)*W22)+(('Emissions Assumptions'!U18/907185)*W23)+(('Emissions Assumptions'!U19/907185)*W22)</f>
        <v>-1.1149503064337131E-2</v>
      </c>
      <c r="X132" s="71">
        <f>(('Emissions Assumptions'!V14/907185)*X22)+(('Emissions Assumptions'!V18/907185)*X23)+(('Emissions Assumptions'!V19/907185)*X22)</f>
        <v>-1.0740780074947552E-2</v>
      </c>
      <c r="Y132" s="71">
        <f>(('Emissions Assumptions'!W14/907185)*Y22)+(('Emissions Assumptions'!W18/907185)*Y23)+(('Emissions Assumptions'!W19/907185)*Y22)</f>
        <v>-1.0334066007194952E-2</v>
      </c>
      <c r="Z132" s="71">
        <f>(('Emissions Assumptions'!X14/907185)*Z22)+(('Emissions Assumptions'!X18/907185)*Z23)+(('Emissions Assumptions'!X19/907185)*Z22)</f>
        <v>-1.0306624734818828E-2</v>
      </c>
      <c r="AA132" s="71">
        <f>(('Emissions Assumptions'!Y14/907185)*AA22)+(('Emissions Assumptions'!Y18/907185)*AA23)+(('Emissions Assumptions'!Y19/907185)*AA22)</f>
        <v>-1.0279183462442701E-2</v>
      </c>
      <c r="AB132" s="71">
        <f>(('Emissions Assumptions'!Z14/907185)*AB22)+(('Emissions Assumptions'!Z18/907185)*AB23)+(('Emissions Assumptions'!Z19/907185)*AB22)</f>
        <v>-1.0251742190066577E-2</v>
      </c>
      <c r="AC132" s="412">
        <f>(('Emissions Assumptions'!AA14/907185)*AC22)+(('Emissions Assumptions'!AA18/907185)*AC23)+(('Emissions Assumptions'!AA19/907185)*AC22)</f>
        <v>-1.0224300917690447E-2</v>
      </c>
      <c r="AD132" s="380">
        <f t="shared" si="28"/>
        <v>-0.33298122240851336</v>
      </c>
    </row>
    <row r="133" spans="1:30" s="53" customFormat="1" ht="12">
      <c r="A133" s="45"/>
      <c r="B133" s="45"/>
      <c r="C133" s="48" t="s">
        <v>100</v>
      </c>
      <c r="D133" s="228"/>
      <c r="E133" s="238"/>
      <c r="F133" s="71">
        <f>('Emissions Assumptions'!D21/907185)*F23</f>
        <v>0</v>
      </c>
      <c r="G133" s="71">
        <f>('Emissions Assumptions'!E21/907185)*G23</f>
        <v>0</v>
      </c>
      <c r="H133" s="71">
        <f>('Emissions Assumptions'!F21/907185)*H23</f>
        <v>-21.470521003832975</v>
      </c>
      <c r="I133" s="71">
        <f>('Emissions Assumptions'!G21/907185)*I23</f>
        <v>-21.151677962597244</v>
      </c>
      <c r="J133" s="71">
        <f>('Emissions Assumptions'!H21/907185)*J23</f>
        <v>-20.823336266619371</v>
      </c>
      <c r="K133" s="71">
        <f>('Emissions Assumptions'!I21/907185)*K23</f>
        <v>-20.485495915899364</v>
      </c>
      <c r="L133" s="71">
        <f>('Emissions Assumptions'!J21/907185)*L23</f>
        <v>-20.13815691043721</v>
      </c>
      <c r="M133" s="71">
        <f>('Emissions Assumptions'!K21/907185)*M23</f>
        <v>-19.781319250232912</v>
      </c>
      <c r="N133" s="71">
        <f>('Emissions Assumptions'!L21/907185)*N23</f>
        <v>-19.414982935286467</v>
      </c>
      <c r="O133" s="71">
        <f>('Emissions Assumptions'!M21/907185)*O23</f>
        <v>-18.824888145652103</v>
      </c>
      <c r="P133" s="71">
        <f>('Emissions Assumptions'!N21/907185)*P23</f>
        <v>-18.536823175297403</v>
      </c>
      <c r="Q133" s="71">
        <f>('Emissions Assumptions'!O21/907185)*Q23</f>
        <v>-18.249999788131227</v>
      </c>
      <c r="R133" s="71">
        <f>('Emissions Assumptions'!P21/907185)*R23</f>
        <v>-17.964417984153556</v>
      </c>
      <c r="S133" s="71">
        <f>('Emissions Assumptions'!Q21/907185)*S23</f>
        <v>-17.680077763364391</v>
      </c>
      <c r="T133" s="71">
        <f>('Emissions Assumptions'!R21/907185)*T23</f>
        <v>-17.39697912576375</v>
      </c>
      <c r="U133" s="71">
        <f>('Emissions Assumptions'!S21/907185)*U23</f>
        <v>-17.115122071351617</v>
      </c>
      <c r="V133" s="71">
        <f>('Emissions Assumptions'!T21/907185)*V23</f>
        <v>-16.834506600127987</v>
      </c>
      <c r="W133" s="71">
        <f>('Emissions Assumptions'!U21/907185)*W23</f>
        <v>-16.555132712092881</v>
      </c>
      <c r="X133" s="71">
        <f>('Emissions Assumptions'!V21/907185)*X23</f>
        <v>-16.277000407246273</v>
      </c>
      <c r="Y133" s="71">
        <f>('Emissions Assumptions'!W21/907185)*Y23</f>
        <v>-16.000109685588193</v>
      </c>
      <c r="Z133" s="71">
        <f>('Emissions Assumptions'!X21/907185)*Z23</f>
        <v>-15.957622694734408</v>
      </c>
      <c r="AA133" s="71">
        <f>('Emissions Assumptions'!Y21/907185)*AA23</f>
        <v>-15.915135703880619</v>
      </c>
      <c r="AB133" s="71">
        <f>('Emissions Assumptions'!Z21/907185)*AB23</f>
        <v>-15.872648713026836</v>
      </c>
      <c r="AC133" s="412">
        <f>('Emissions Assumptions'!AA21/907185)*AC23</f>
        <v>-15.830161722173045</v>
      </c>
      <c r="AD133" s="380">
        <f t="shared" si="28"/>
        <v>-398.27611653748977</v>
      </c>
    </row>
    <row r="134" spans="1:30" s="53" customFormat="1" ht="12">
      <c r="A134" s="45"/>
      <c r="B134" s="45"/>
      <c r="C134" s="70" t="s">
        <v>115</v>
      </c>
      <c r="D134" s="228"/>
      <c r="E134" s="236"/>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283"/>
      <c r="AD134" s="361">
        <f t="shared" si="28"/>
        <v>0</v>
      </c>
    </row>
    <row r="135" spans="1:30" s="53" customFormat="1" ht="12">
      <c r="A135" s="45"/>
      <c r="B135" s="45"/>
      <c r="C135" s="48" t="s">
        <v>43</v>
      </c>
      <c r="D135" s="228"/>
      <c r="E135" s="239"/>
      <c r="F135" s="56">
        <f>-(F130*'Emissions Assumptions'!D12)</f>
        <v>0</v>
      </c>
      <c r="G135" s="56">
        <f>-(G130*'Emissions Assumptions'!E12)</f>
        <v>0</v>
      </c>
      <c r="H135" s="56">
        <f>-(H130*'Emissions Assumptions'!F12)</f>
        <v>0</v>
      </c>
      <c r="I135" s="56">
        <f>-(I130*'Emissions Assumptions'!G12)</f>
        <v>0</v>
      </c>
      <c r="J135" s="56">
        <f>-(J130*'Emissions Assumptions'!H12)</f>
        <v>120.63636447772932</v>
      </c>
      <c r="K135" s="56">
        <f>-(K130*'Emissions Assumptions'!I12)</f>
        <v>155.8161799163606</v>
      </c>
      <c r="L135" s="56">
        <f>-(L130*'Emissions Assumptions'!J12)</f>
        <v>149.00602028072669</v>
      </c>
      <c r="M135" s="56">
        <f>-(M130*'Emissions Assumptions'!K12)</f>
        <v>141.90386795539379</v>
      </c>
      <c r="N135" s="56">
        <f>-(N130*'Emissions Assumptions'!L12)</f>
        <v>134.49691503135719</v>
      </c>
      <c r="O135" s="56">
        <f>-(O130*'Emissions Assumptions'!M12)</f>
        <v>125.1783020621687</v>
      </c>
      <c r="P135" s="56">
        <f>-(P130*'Emissions Assumptions'!N12)</f>
        <v>124.51558928351501</v>
      </c>
      <c r="Q135" s="56">
        <f>-(Q130*'Emissions Assumptions'!O12)</f>
        <v>123.84028473251816</v>
      </c>
      <c r="R135" s="56">
        <f>-(R130*'Emissions Assumptions'!P12)</f>
        <v>123.15216892791274</v>
      </c>
      <c r="S135" s="56">
        <f>-(S130*'Emissions Assumptions'!Q12)</f>
        <v>122.45101920057063</v>
      </c>
      <c r="T135" s="56">
        <f>-(T130*'Emissions Assumptions'!R12)</f>
        <v>121.73660965162512</v>
      </c>
      <c r="U135" s="56">
        <f>-(U130*'Emissions Assumptions'!S12)</f>
        <v>121.00871111007675</v>
      </c>
      <c r="V135" s="56">
        <f>-(V130*'Emissions Assumptions'!T12)</f>
        <v>120.26709108987404</v>
      </c>
      <c r="W135" s="56">
        <f>-(W130*'Emissions Assumptions'!U12)</f>
        <v>119.51151374646275</v>
      </c>
      <c r="X135" s="56">
        <f>-(X130*'Emissions Assumptions'!V12)</f>
        <v>118.74173983279815</v>
      </c>
      <c r="Y135" s="56">
        <f>-(Y130*'Emissions Assumptions'!W12)</f>
        <v>117.95752665481243</v>
      </c>
      <c r="Z135" s="56">
        <f>-(Z130*'Emissions Assumptions'!X12)</f>
        <v>118.7767951166025</v>
      </c>
      <c r="AA135" s="56">
        <f>-(AA130*'Emissions Assumptions'!Y12)</f>
        <v>119.60398963597494</v>
      </c>
      <c r="AB135" s="56">
        <f>-(AB130*'Emissions Assumptions'!Z12)</f>
        <v>120.4391892762016</v>
      </c>
      <c r="AC135" s="413">
        <f>-(AC130*'Emissions Assumptions'!AA12)</f>
        <v>121.28247389104096</v>
      </c>
      <c r="AD135" s="381">
        <f t="shared" si="28"/>
        <v>2520.3223518737213</v>
      </c>
    </row>
    <row r="136" spans="1:30" ht="13.5">
      <c r="A136" s="45"/>
      <c r="B136" s="45"/>
      <c r="C136" s="48" t="s">
        <v>119</v>
      </c>
      <c r="D136" s="228"/>
      <c r="E136" s="239"/>
      <c r="F136" s="56">
        <f>-(F131*'Emissions Assumptions'!D6)</f>
        <v>0</v>
      </c>
      <c r="G136" s="56">
        <f>-(G131*'Emissions Assumptions'!E6)</f>
        <v>0</v>
      </c>
      <c r="H136" s="56">
        <f>-(H131*'Emissions Assumptions'!F6)</f>
        <v>77.417067888086123</v>
      </c>
      <c r="I136" s="56">
        <f>-(I131*'Emissions Assumptions'!G6)</f>
        <v>72.625171377208588</v>
      </c>
      <c r="J136" s="56">
        <f>-(J131*'Emissions Assumptions'!H6)</f>
        <v>67.732192235400348</v>
      </c>
      <c r="K136" s="56">
        <f>-(K131*'Emissions Assumptions'!I6)</f>
        <v>62.738130462661374</v>
      </c>
      <c r="L136" s="56">
        <f>-(L131*'Emissions Assumptions'!J6)</f>
        <v>57.642986058991674</v>
      </c>
      <c r="M136" s="56">
        <f>-(M131*'Emissions Assumptions'!K6)</f>
        <v>52.446759024391234</v>
      </c>
      <c r="N136" s="56">
        <f>-(N131*'Emissions Assumptions'!L6)</f>
        <v>47.14944935886006</v>
      </c>
      <c r="O136" s="56">
        <f>-(O131*'Emissions Assumptions'!M6)</f>
        <v>41.28120547109274</v>
      </c>
      <c r="P136" s="56">
        <f>-(P131*'Emissions Assumptions'!N6)</f>
        <v>40.42226833343328</v>
      </c>
      <c r="Q136" s="56">
        <f>-(Q131*'Emissions Assumptions'!O6)</f>
        <v>39.567232525351329</v>
      </c>
      <c r="R136" s="56">
        <f>-(R131*'Emissions Assumptions'!P6)</f>
        <v>38.716098046846881</v>
      </c>
      <c r="S136" s="56">
        <f>-(S131*'Emissions Assumptions'!Q6)</f>
        <v>37.86886489791992</v>
      </c>
      <c r="T136" s="56">
        <f>-(T131*'Emissions Assumptions'!R6)</f>
        <v>37.02553307857049</v>
      </c>
      <c r="U136" s="56">
        <f>-(U131*'Emissions Assumptions'!S6)</f>
        <v>36.186102588798555</v>
      </c>
      <c r="V136" s="56">
        <f>-(V131*'Emissions Assumptions'!T6)</f>
        <v>35.350573428604108</v>
      </c>
      <c r="W136" s="56">
        <f>-(W131*'Emissions Assumptions'!U6)</f>
        <v>34.518945597987177</v>
      </c>
      <c r="X136" s="56">
        <f>-(X131*'Emissions Assumptions'!V6)</f>
        <v>33.691219096947734</v>
      </c>
      <c r="Y136" s="56">
        <f>-(Y131*'Emissions Assumptions'!W6)</f>
        <v>32.867393925485821</v>
      </c>
      <c r="Z136" s="56">
        <f>-(Z131*'Emissions Assumptions'!X6)</f>
        <v>32.780117232229287</v>
      </c>
      <c r="AA136" s="56">
        <f>-(AA131*'Emissions Assumptions'!Y6)</f>
        <v>32.692840538972753</v>
      </c>
      <c r="AB136" s="56">
        <f>-(AB131*'Emissions Assumptions'!Z6)</f>
        <v>32.60556384571624</v>
      </c>
      <c r="AC136" s="413">
        <f>-(AC131*'Emissions Assumptions'!AA6)</f>
        <v>32.518287152459692</v>
      </c>
      <c r="AD136" s="381">
        <f t="shared" si="28"/>
        <v>975.84400216601534</v>
      </c>
    </row>
    <row r="137" spans="1:30" ht="13.5">
      <c r="A137" s="45"/>
      <c r="B137" s="45"/>
      <c r="C137" s="48" t="s">
        <v>117</v>
      </c>
      <c r="D137" s="228"/>
      <c r="E137" s="239"/>
      <c r="F137" s="56">
        <f>-(F132*'Emissions Assumptions'!D15)</f>
        <v>0</v>
      </c>
      <c r="G137" s="56">
        <f>-(G132*'Emissions Assumptions'!E15)</f>
        <v>0</v>
      </c>
      <c r="H137" s="56">
        <f>-(H132*'Emissions Assumptions'!F15)</f>
        <v>4642.958554969473</v>
      </c>
      <c r="I137" s="56">
        <f>-(I132*'Emissions Assumptions'!G15)</f>
        <v>4349.9331343157073</v>
      </c>
      <c r="J137" s="56">
        <f>-(J132*'Emissions Assumptions'!H15)</f>
        <v>4050.7419713540198</v>
      </c>
      <c r="K137" s="56">
        <f>-(K132*'Emissions Assumptions'!I15)</f>
        <v>3745.3850660844114</v>
      </c>
      <c r="L137" s="56">
        <f>-(L132*'Emissions Assumptions'!J15)</f>
        <v>3433.8624185068802</v>
      </c>
      <c r="M137" s="56">
        <f>-(M132*'Emissions Assumptions'!K15)</f>
        <v>3116.1740286214263</v>
      </c>
      <c r="N137" s="56">
        <f>-(N132*'Emissions Assumptions'!L15)</f>
        <v>2792.3198964280496</v>
      </c>
      <c r="O137" s="56">
        <f>-(O132*'Emissions Assumptions'!M15)</f>
        <v>2434.5901706086256</v>
      </c>
      <c r="P137" s="56">
        <f>-(P132*'Emissions Assumptions'!N15)</f>
        <v>2363.2247177110885</v>
      </c>
      <c r="Q137" s="56">
        <f>-(Q132*'Emissions Assumptions'!O15)</f>
        <v>2292.1967636485629</v>
      </c>
      <c r="R137" s="56">
        <f>-(R132*'Emissions Assumptions'!P15)</f>
        <v>2221.5063084210474</v>
      </c>
      <c r="S137" s="56">
        <f>-(S132*'Emissions Assumptions'!Q15)</f>
        <v>2151.1533520285425</v>
      </c>
      <c r="T137" s="56">
        <f>-(T132*'Emissions Assumptions'!R15)</f>
        <v>2081.1378944710505</v>
      </c>
      <c r="U137" s="56">
        <f>-(U132*'Emissions Assumptions'!S15)</f>
        <v>2011.4599357485686</v>
      </c>
      <c r="V137" s="56">
        <f>-(V132*'Emissions Assumptions'!T15)</f>
        <v>1942.1194758610973</v>
      </c>
      <c r="W137" s="56">
        <f>-(W132*'Emissions Assumptions'!U15)</f>
        <v>1873.1165148086379</v>
      </c>
      <c r="X137" s="56">
        <f>-(X132*'Emissions Assumptions'!V15)</f>
        <v>1804.4510525911887</v>
      </c>
      <c r="Y137" s="56">
        <f>-(Y132*'Emissions Assumptions'!W15)</f>
        <v>1736.1230892087519</v>
      </c>
      <c r="Z137" s="56">
        <f>-(Z132*'Emissions Assumptions'!X15)</f>
        <v>1731.5129554495632</v>
      </c>
      <c r="AA137" s="56">
        <f>-(AA132*'Emissions Assumptions'!Y15)</f>
        <v>1726.9028216903739</v>
      </c>
      <c r="AB137" s="56">
        <f>-(AB132*'Emissions Assumptions'!Z15)</f>
        <v>1722.2926879311849</v>
      </c>
      <c r="AC137" s="413">
        <f>-(AC132*'Emissions Assumptions'!AA15)</f>
        <v>1717.682554171995</v>
      </c>
      <c r="AD137" s="381">
        <f t="shared" si="28"/>
        <v>55940.845364630259</v>
      </c>
    </row>
    <row r="138" spans="1:30" s="53" customFormat="1" ht="13.5">
      <c r="A138" s="45"/>
      <c r="B138" s="45"/>
      <c r="C138" s="48" t="s">
        <v>118</v>
      </c>
      <c r="D138" s="228"/>
      <c r="E138" s="239"/>
      <c r="F138" s="56">
        <f>-(F133*'Emissions Assumptions'!D22)</f>
        <v>0</v>
      </c>
      <c r="G138" s="56">
        <f>-(G133*'Emissions Assumptions'!E22)</f>
        <v>0</v>
      </c>
      <c r="H138" s="56">
        <f>-(H133*'Emissions Assumptions'!F22)</f>
        <v>459.46914948202561</v>
      </c>
      <c r="I138" s="56">
        <f>-(I133*'Emissions Assumptions'!G22)</f>
        <v>452.645908399581</v>
      </c>
      <c r="J138" s="56">
        <f>-(J133*'Emissions Assumptions'!H22)</f>
        <v>445.61939610565452</v>
      </c>
      <c r="K138" s="56">
        <f>-(K133*'Emissions Assumptions'!I22)</f>
        <v>438.38961260024638</v>
      </c>
      <c r="L138" s="56">
        <f>-(L133*'Emissions Assumptions'!J22)</f>
        <v>430.95655788335625</v>
      </c>
      <c r="M138" s="56">
        <f>-(M133*'Emissions Assumptions'!K22)</f>
        <v>423.32023195498431</v>
      </c>
      <c r="N138" s="56">
        <f>-(N133*'Emissions Assumptions'!L22)</f>
        <v>415.48063481513037</v>
      </c>
      <c r="O138" s="56">
        <f>-(O133*'Emissions Assumptions'!M22)</f>
        <v>402.85260631695496</v>
      </c>
      <c r="P138" s="56">
        <f>-(P133*'Emissions Assumptions'!N22)</f>
        <v>396.68801595136438</v>
      </c>
      <c r="Q138" s="56">
        <f>-(Q133*'Emissions Assumptions'!O22)</f>
        <v>390.54999546600823</v>
      </c>
      <c r="R138" s="56">
        <f>-(R133*'Emissions Assumptions'!P22)</f>
        <v>384.43854486088605</v>
      </c>
      <c r="S138" s="56">
        <f>-(S133*'Emissions Assumptions'!Q22)</f>
        <v>378.35366413599792</v>
      </c>
      <c r="T138" s="56">
        <f>-(T133*'Emissions Assumptions'!R22)</f>
        <v>372.29535329134421</v>
      </c>
      <c r="U138" s="56">
        <f>-(U133*'Emissions Assumptions'!S22)</f>
        <v>366.2636123269246</v>
      </c>
      <c r="V138" s="56">
        <f>-(V133*'Emissions Assumptions'!T22)</f>
        <v>360.25844124273891</v>
      </c>
      <c r="W138" s="56">
        <f>-(W133*'Emissions Assumptions'!U22)</f>
        <v>354.27984003878765</v>
      </c>
      <c r="X138" s="56">
        <f>-(X133*'Emissions Assumptions'!V22)</f>
        <v>348.3278087150702</v>
      </c>
      <c r="Y138" s="56">
        <f>-(Y133*'Emissions Assumptions'!W22)</f>
        <v>342.4023472715873</v>
      </c>
      <c r="Z138" s="56">
        <f>-(Z133*'Emissions Assumptions'!X22)</f>
        <v>341.49312566731629</v>
      </c>
      <c r="AA138" s="56">
        <f>-(AA133*'Emissions Assumptions'!Y22)</f>
        <v>340.58390406304522</v>
      </c>
      <c r="AB138" s="56">
        <f>-(AB133*'Emissions Assumptions'!Z22)</f>
        <v>339.67468245877427</v>
      </c>
      <c r="AC138" s="413">
        <f>-(AC133*'Emissions Assumptions'!AA22)</f>
        <v>338.76546085450315</v>
      </c>
      <c r="AD138" s="381">
        <f t="shared" si="28"/>
        <v>8523.1088939022829</v>
      </c>
    </row>
    <row r="139" spans="1:30" s="5" customFormat="1" ht="12">
      <c r="A139" s="58"/>
      <c r="B139" s="58"/>
      <c r="C139" s="62" t="s">
        <v>613</v>
      </c>
      <c r="D139" s="231"/>
      <c r="E139" s="239"/>
      <c r="F139" s="83">
        <f>SUM(F135:F138)</f>
        <v>0</v>
      </c>
      <c r="G139" s="83">
        <f t="shared" ref="G139:AC139" si="35">SUM(G135:G138)</f>
        <v>0</v>
      </c>
      <c r="H139" s="83">
        <f t="shared" si="35"/>
        <v>5179.8447723395848</v>
      </c>
      <c r="I139" s="83">
        <f t="shared" si="35"/>
        <v>4875.2042140924968</v>
      </c>
      <c r="J139" s="83">
        <f t="shared" si="35"/>
        <v>4684.7299241728033</v>
      </c>
      <c r="K139" s="83">
        <f t="shared" si="35"/>
        <v>4402.3289890636797</v>
      </c>
      <c r="L139" s="83">
        <f t="shared" si="35"/>
        <v>4071.4679827299547</v>
      </c>
      <c r="M139" s="83">
        <f t="shared" si="35"/>
        <v>3733.8448875561953</v>
      </c>
      <c r="N139" s="83">
        <f t="shared" si="35"/>
        <v>3389.4468956333972</v>
      </c>
      <c r="O139" s="83">
        <f t="shared" si="35"/>
        <v>3003.9022844588417</v>
      </c>
      <c r="P139" s="83">
        <f t="shared" si="35"/>
        <v>2924.8505912794012</v>
      </c>
      <c r="Q139" s="83">
        <f t="shared" si="35"/>
        <v>2846.1542763724406</v>
      </c>
      <c r="R139" s="83">
        <f t="shared" si="35"/>
        <v>2767.8131202566929</v>
      </c>
      <c r="S139" s="83">
        <f t="shared" si="35"/>
        <v>2689.8269002630309</v>
      </c>
      <c r="T139" s="83">
        <f t="shared" si="35"/>
        <v>2612.1953904925904</v>
      </c>
      <c r="U139" s="83">
        <f t="shared" si="35"/>
        <v>2534.9183617743683</v>
      </c>
      <c r="V139" s="83">
        <f t="shared" si="35"/>
        <v>2457.9955816223146</v>
      </c>
      <c r="W139" s="83">
        <f t="shared" si="35"/>
        <v>2381.4268141918756</v>
      </c>
      <c r="X139" s="83">
        <f t="shared" si="35"/>
        <v>2305.2118202360048</v>
      </c>
      <c r="Y139" s="83">
        <f t="shared" si="35"/>
        <v>2229.3503570606376</v>
      </c>
      <c r="Z139" s="83">
        <f t="shared" si="35"/>
        <v>2224.5629934657113</v>
      </c>
      <c r="AA139" s="83">
        <f t="shared" si="35"/>
        <v>2219.7835559283667</v>
      </c>
      <c r="AB139" s="83">
        <f t="shared" si="35"/>
        <v>2215.0121235118772</v>
      </c>
      <c r="AC139" s="292">
        <f t="shared" si="35"/>
        <v>2210.2487760699987</v>
      </c>
      <c r="AD139" s="378">
        <f t="shared" si="28"/>
        <v>67960.120612572267</v>
      </c>
    </row>
    <row r="140" spans="1:30" s="53" customFormat="1" ht="12">
      <c r="A140" s="45"/>
      <c r="B140" s="45"/>
      <c r="D140" s="228"/>
      <c r="E140" s="236"/>
      <c r="F140" s="45"/>
      <c r="G140" s="57"/>
      <c r="AC140" s="283"/>
      <c r="AD140" s="361">
        <f t="shared" si="28"/>
        <v>0</v>
      </c>
    </row>
    <row r="141" spans="1:30" s="53" customFormat="1" ht="12">
      <c r="A141" s="45"/>
      <c r="B141" s="45"/>
      <c r="C141" s="64" t="s">
        <v>91</v>
      </c>
      <c r="D141" s="228"/>
      <c r="E141" s="236"/>
      <c r="F141" s="45"/>
      <c r="G141" s="57"/>
      <c r="AC141" s="283"/>
      <c r="AD141" s="361">
        <f t="shared" si="28"/>
        <v>0</v>
      </c>
    </row>
    <row r="142" spans="1:30" s="53" customFormat="1" ht="24">
      <c r="A142" s="45"/>
      <c r="B142" s="45"/>
      <c r="C142" s="222" t="s">
        <v>132</v>
      </c>
      <c r="D142" s="279">
        <f>'Price Assumptions'!$B$22</f>
        <v>0.2</v>
      </c>
      <c r="E142" s="236"/>
      <c r="G142" s="97"/>
      <c r="H142" s="97"/>
      <c r="I142" s="97"/>
      <c r="J142" s="97"/>
      <c r="K142" s="97"/>
      <c r="L142" s="97"/>
      <c r="M142" s="97"/>
      <c r="N142" s="97"/>
      <c r="O142" s="97"/>
      <c r="P142" s="97"/>
      <c r="Q142" s="97"/>
      <c r="R142" s="97"/>
      <c r="S142" s="97"/>
      <c r="T142" s="97"/>
      <c r="U142" s="97"/>
      <c r="V142" s="97"/>
      <c r="W142" s="97"/>
      <c r="X142" s="97"/>
      <c r="Y142" s="97"/>
      <c r="AC142" s="283"/>
      <c r="AD142" s="361">
        <f t="shared" si="28"/>
        <v>0</v>
      </c>
    </row>
    <row r="143" spans="1:30" s="53" customFormat="1" ht="24">
      <c r="A143" s="45"/>
      <c r="B143" s="45"/>
      <c r="C143" s="303" t="s">
        <v>520</v>
      </c>
      <c r="D143" s="304">
        <f>'Price Assumptions'!$B$21</f>
        <v>5.4413625171743009E-2</v>
      </c>
      <c r="E143" s="236"/>
      <c r="G143" s="96"/>
      <c r="H143" s="96"/>
      <c r="I143" s="96"/>
      <c r="J143" s="96"/>
      <c r="K143" s="96"/>
      <c r="L143" s="96"/>
      <c r="M143" s="96"/>
      <c r="N143" s="96"/>
      <c r="O143" s="96"/>
      <c r="P143" s="96"/>
      <c r="Q143" s="96"/>
      <c r="R143" s="96"/>
      <c r="S143" s="96"/>
      <c r="T143" s="96"/>
      <c r="U143" s="96"/>
      <c r="V143" s="96"/>
      <c r="W143" s="96"/>
      <c r="X143" s="96"/>
      <c r="Y143" s="96"/>
      <c r="AC143" s="283"/>
      <c r="AD143" s="361">
        <f t="shared" si="28"/>
        <v>0</v>
      </c>
    </row>
    <row r="144" spans="1:30" s="5" customFormat="1" ht="12">
      <c r="A144" s="58"/>
      <c r="B144" s="58"/>
      <c r="C144" s="87" t="s">
        <v>521</v>
      </c>
      <c r="D144" s="231"/>
      <c r="E144" s="239"/>
      <c r="F144" s="83">
        <f>$D$143*$D$142*(F16+F17)</f>
        <v>0</v>
      </c>
      <c r="G144" s="83">
        <f t="shared" ref="G144:AC144" si="36">$D$143*$D$142*(G16+G17)</f>
        <v>0</v>
      </c>
      <c r="H144" s="83">
        <f t="shared" si="36"/>
        <v>2.3449705238547818</v>
      </c>
      <c r="I144" s="83">
        <f t="shared" si="36"/>
        <v>2.3666842060653752</v>
      </c>
      <c r="J144" s="83">
        <f t="shared" si="36"/>
        <v>2.3883978882759678</v>
      </c>
      <c r="K144" s="83">
        <f t="shared" si="36"/>
        <v>2.4101115704865612</v>
      </c>
      <c r="L144" s="83">
        <f t="shared" si="36"/>
        <v>2.4318252526971547</v>
      </c>
      <c r="M144" s="83">
        <f t="shared" si="36"/>
        <v>2.4535389349077477</v>
      </c>
      <c r="N144" s="83">
        <f t="shared" si="36"/>
        <v>2.4752526171183411</v>
      </c>
      <c r="O144" s="83">
        <f t="shared" si="36"/>
        <v>2.4688663260175456</v>
      </c>
      <c r="P144" s="83">
        <f t="shared" si="36"/>
        <v>2.4624800349167484</v>
      </c>
      <c r="Q144" s="83">
        <f t="shared" si="36"/>
        <v>2.456093743815952</v>
      </c>
      <c r="R144" s="83">
        <f t="shared" si="36"/>
        <v>2.4497074527151561</v>
      </c>
      <c r="S144" s="83">
        <f t="shared" si="36"/>
        <v>2.4433211616143597</v>
      </c>
      <c r="T144" s="83">
        <f t="shared" si="36"/>
        <v>2.4369348705135634</v>
      </c>
      <c r="U144" s="83">
        <f t="shared" si="36"/>
        <v>2.430548579412767</v>
      </c>
      <c r="V144" s="83">
        <f t="shared" si="36"/>
        <v>2.4241622883119702</v>
      </c>
      <c r="W144" s="83">
        <f t="shared" si="36"/>
        <v>2.4177759972111734</v>
      </c>
      <c r="X144" s="83">
        <f t="shared" si="36"/>
        <v>2.4113897061103771</v>
      </c>
      <c r="Y144" s="83">
        <f t="shared" si="36"/>
        <v>2.4050034150095811</v>
      </c>
      <c r="Z144" s="83">
        <f t="shared" si="36"/>
        <v>2.3986171239087848</v>
      </c>
      <c r="AA144" s="83">
        <f t="shared" si="36"/>
        <v>2.3922308328079884</v>
      </c>
      <c r="AB144" s="83">
        <f t="shared" si="36"/>
        <v>2.3858445417071925</v>
      </c>
      <c r="AC144" s="292">
        <f t="shared" si="36"/>
        <v>2.3794582506063962</v>
      </c>
      <c r="AD144" s="378">
        <f t="shared" si="28"/>
        <v>53.233215318085492</v>
      </c>
    </row>
    <row r="145" spans="1:30" s="112" customFormat="1" ht="12">
      <c r="A145" s="109"/>
      <c r="B145" s="109"/>
      <c r="C145" s="110"/>
      <c r="D145" s="227"/>
      <c r="E145" s="235"/>
      <c r="F145" s="111"/>
      <c r="G145" s="111"/>
      <c r="H145" s="111"/>
      <c r="I145" s="111"/>
      <c r="J145" s="111"/>
      <c r="K145" s="111"/>
      <c r="L145" s="111"/>
      <c r="M145" s="111"/>
      <c r="N145" s="111"/>
      <c r="O145" s="111"/>
      <c r="P145" s="111"/>
      <c r="Q145" s="111"/>
      <c r="R145" s="111"/>
      <c r="S145" s="111"/>
      <c r="T145" s="111"/>
      <c r="U145" s="111"/>
      <c r="V145" s="111"/>
      <c r="W145" s="111"/>
      <c r="X145" s="111"/>
      <c r="Y145" s="111"/>
      <c r="Z145" s="111"/>
      <c r="AC145" s="282"/>
      <c r="AD145" s="360">
        <f t="shared" si="28"/>
        <v>0</v>
      </c>
    </row>
    <row r="146" spans="1:30" s="112" customFormat="1" ht="12">
      <c r="A146" s="58" t="s">
        <v>361</v>
      </c>
      <c r="B146" s="58"/>
      <c r="C146" s="110"/>
      <c r="D146" s="227"/>
      <c r="E146" s="235"/>
      <c r="F146" s="111"/>
      <c r="G146" s="111"/>
      <c r="H146" s="111"/>
      <c r="I146" s="111"/>
      <c r="J146" s="111"/>
      <c r="K146" s="111"/>
      <c r="L146" s="111"/>
      <c r="M146" s="111"/>
      <c r="N146" s="111"/>
      <c r="O146" s="111"/>
      <c r="P146" s="111"/>
      <c r="Q146" s="111"/>
      <c r="R146" s="111"/>
      <c r="S146" s="111"/>
      <c r="T146" s="111"/>
      <c r="U146" s="111"/>
      <c r="V146" s="111"/>
      <c r="W146" s="111"/>
      <c r="X146" s="111"/>
      <c r="Y146" s="111"/>
      <c r="Z146" s="111"/>
      <c r="AC146" s="282"/>
      <c r="AD146" s="360">
        <f t="shared" si="28"/>
        <v>0</v>
      </c>
    </row>
    <row r="147" spans="1:30" s="112" customFormat="1" ht="12">
      <c r="A147" s="58"/>
      <c r="B147" s="58"/>
      <c r="C147" s="46" t="s">
        <v>39</v>
      </c>
      <c r="D147" s="229"/>
      <c r="E147" s="236"/>
      <c r="F147" s="45"/>
      <c r="G147" s="111"/>
      <c r="H147" s="111"/>
      <c r="I147" s="111"/>
      <c r="J147" s="111"/>
      <c r="K147" s="111"/>
      <c r="L147" s="111"/>
      <c r="M147" s="111"/>
      <c r="N147" s="111"/>
      <c r="O147" s="111"/>
      <c r="P147" s="111"/>
      <c r="Q147" s="111"/>
      <c r="R147" s="111"/>
      <c r="S147" s="111"/>
      <c r="T147" s="111"/>
      <c r="U147" s="111"/>
      <c r="V147" s="111"/>
      <c r="W147" s="111"/>
      <c r="X147" s="111"/>
      <c r="Y147" s="111"/>
      <c r="Z147" s="111"/>
      <c r="AC147" s="282"/>
      <c r="AD147" s="360">
        <f t="shared" si="28"/>
        <v>0</v>
      </c>
    </row>
    <row r="148" spans="1:30" s="112" customFormat="1" ht="12">
      <c r="A148" s="58"/>
      <c r="B148" s="58" t="s">
        <v>228</v>
      </c>
      <c r="D148" s="229"/>
      <c r="E148" s="236"/>
      <c r="F148" s="45"/>
      <c r="G148" s="111"/>
      <c r="H148" s="111"/>
      <c r="I148" s="111"/>
      <c r="J148" s="111"/>
      <c r="K148" s="111"/>
      <c r="L148" s="111"/>
      <c r="M148" s="111"/>
      <c r="N148" s="111"/>
      <c r="O148" s="111"/>
      <c r="P148" s="111"/>
      <c r="Q148" s="111"/>
      <c r="R148" s="111"/>
      <c r="S148" s="111"/>
      <c r="T148" s="111"/>
      <c r="U148" s="111"/>
      <c r="V148" s="111"/>
      <c r="W148" s="111"/>
      <c r="X148" s="111"/>
      <c r="Y148" s="111"/>
      <c r="Z148" s="111"/>
      <c r="AC148" s="282"/>
      <c r="AD148" s="360">
        <f t="shared" si="28"/>
        <v>0</v>
      </c>
    </row>
    <row r="149" spans="1:30" s="112" customFormat="1" ht="12">
      <c r="A149" s="58"/>
      <c r="B149" s="468" t="s">
        <v>609</v>
      </c>
      <c r="C149" s="78" t="s">
        <v>580</v>
      </c>
      <c r="D149" s="229"/>
      <c r="E149" s="236"/>
      <c r="F149" s="45"/>
      <c r="G149" s="111"/>
      <c r="H149" s="111"/>
      <c r="I149" s="55"/>
      <c r="J149" s="55"/>
      <c r="K149" s="55"/>
      <c r="L149" s="55"/>
      <c r="M149" s="55"/>
      <c r="N149" s="55"/>
      <c r="O149" s="55"/>
      <c r="P149" s="55"/>
      <c r="Q149" s="55"/>
      <c r="R149" s="55"/>
      <c r="S149" s="55"/>
      <c r="T149" s="55"/>
      <c r="U149" s="55"/>
      <c r="V149" s="55"/>
      <c r="W149" s="55"/>
      <c r="X149" s="55"/>
      <c r="Y149" s="55"/>
      <c r="Z149" s="55"/>
      <c r="AA149" s="55"/>
      <c r="AB149" s="55"/>
      <c r="AC149" s="290"/>
      <c r="AD149" s="376">
        <f t="shared" si="28"/>
        <v>0</v>
      </c>
    </row>
    <row r="150" spans="1:30" s="112" customFormat="1" ht="12">
      <c r="A150" s="58"/>
      <c r="C150" s="78" t="s">
        <v>559</v>
      </c>
      <c r="D150" s="229">
        <f>'Mode Operating Assumptions'!D191</f>
        <v>8.2555465307736857E-8</v>
      </c>
      <c r="E150" s="236"/>
      <c r="F150" s="55">
        <f t="shared" ref="F150:AC150" si="37">$D$150*(F$11+F$12)</f>
        <v>0</v>
      </c>
      <c r="G150" s="55">
        <f t="shared" si="37"/>
        <v>0</v>
      </c>
      <c r="H150" s="55">
        <f t="shared" si="37"/>
        <v>9.3923319492415953E-4</v>
      </c>
      <c r="I150" s="55">
        <f t="shared" si="37"/>
        <v>9.4793019597758771E-4</v>
      </c>
      <c r="J150" s="55">
        <f t="shared" si="37"/>
        <v>9.5662719703101578E-4</v>
      </c>
      <c r="K150" s="55">
        <f t="shared" si="37"/>
        <v>9.6532419808444429E-4</v>
      </c>
      <c r="L150" s="55">
        <f t="shared" si="37"/>
        <v>9.7402119913787279E-4</v>
      </c>
      <c r="M150" s="55">
        <f t="shared" si="37"/>
        <v>9.8271820019130108E-4</v>
      </c>
      <c r="N150" s="55">
        <f t="shared" si="37"/>
        <v>9.9141520124472926E-4</v>
      </c>
      <c r="O150" s="55">
        <f t="shared" si="37"/>
        <v>9.8885729421208297E-4</v>
      </c>
      <c r="P150" s="55">
        <f t="shared" si="37"/>
        <v>9.8629938717943646E-4</v>
      </c>
      <c r="Q150" s="55">
        <f t="shared" si="37"/>
        <v>9.8374148014679016E-4</v>
      </c>
      <c r="R150" s="55">
        <f t="shared" si="37"/>
        <v>9.8118357311414387E-4</v>
      </c>
      <c r="S150" s="55">
        <f t="shared" si="37"/>
        <v>9.7862566608149693E-4</v>
      </c>
      <c r="T150" s="55">
        <f t="shared" si="37"/>
        <v>9.7606775904885096E-4</v>
      </c>
      <c r="U150" s="55">
        <f t="shared" si="37"/>
        <v>9.7350985201620467E-4</v>
      </c>
      <c r="V150" s="55">
        <f t="shared" si="37"/>
        <v>9.7095194498355794E-4</v>
      </c>
      <c r="W150" s="55">
        <f t="shared" si="37"/>
        <v>9.6839403795091164E-4</v>
      </c>
      <c r="X150" s="55">
        <f t="shared" si="37"/>
        <v>9.6583613091826492E-4</v>
      </c>
      <c r="Y150" s="55">
        <f t="shared" si="37"/>
        <v>9.6327822388561862E-4</v>
      </c>
      <c r="Z150" s="55">
        <f t="shared" si="37"/>
        <v>9.6072031685297244E-4</v>
      </c>
      <c r="AA150" s="55">
        <f t="shared" si="37"/>
        <v>9.5816240982032593E-4</v>
      </c>
      <c r="AB150" s="55">
        <f t="shared" si="37"/>
        <v>9.5560450278767963E-4</v>
      </c>
      <c r="AC150" s="290">
        <f t="shared" si="37"/>
        <v>9.5304659575503302E-4</v>
      </c>
      <c r="AD150" s="376">
        <f t="shared" si="28"/>
        <v>2.1321548561344484E-2</v>
      </c>
    </row>
    <row r="151" spans="1:30" s="112" customFormat="1" ht="12">
      <c r="A151" s="58"/>
      <c r="C151" s="49" t="s">
        <v>40</v>
      </c>
      <c r="D151" s="328">
        <f>-'Mode Operating Assumptions'!C181</f>
        <v>-6200000</v>
      </c>
      <c r="E151" s="236"/>
      <c r="F151" s="275">
        <f>F150*$D$151</f>
        <v>0</v>
      </c>
      <c r="G151" s="275">
        <f t="shared" ref="G151:AB151" si="38">G150*$D$151</f>
        <v>0</v>
      </c>
      <c r="H151" s="275">
        <f t="shared" si="38"/>
        <v>-5823.2458085297894</v>
      </c>
      <c r="I151" s="275">
        <f t="shared" si="38"/>
        <v>-5877.1672150610439</v>
      </c>
      <c r="J151" s="275">
        <f t="shared" si="38"/>
        <v>-5931.0886215922983</v>
      </c>
      <c r="K151" s="275">
        <f t="shared" si="38"/>
        <v>-5985.0100281235545</v>
      </c>
      <c r="L151" s="275">
        <f t="shared" si="38"/>
        <v>-6038.9314346548117</v>
      </c>
      <c r="M151" s="275">
        <f t="shared" si="38"/>
        <v>-6092.8528411860671</v>
      </c>
      <c r="N151" s="275">
        <f t="shared" si="38"/>
        <v>-6146.7742477173215</v>
      </c>
      <c r="O151" s="275">
        <f t="shared" si="38"/>
        <v>-6130.9152241149141</v>
      </c>
      <c r="P151" s="275">
        <f t="shared" si="38"/>
        <v>-6115.0562005125057</v>
      </c>
      <c r="Q151" s="275">
        <f t="shared" si="38"/>
        <v>-6099.1971769100992</v>
      </c>
      <c r="R151" s="275">
        <f t="shared" si="38"/>
        <v>-6083.3381533076918</v>
      </c>
      <c r="S151" s="275">
        <f t="shared" si="38"/>
        <v>-6067.4791297052807</v>
      </c>
      <c r="T151" s="275">
        <f t="shared" si="38"/>
        <v>-6051.620106102876</v>
      </c>
      <c r="U151" s="275">
        <f t="shared" si="38"/>
        <v>-6035.7610825004685</v>
      </c>
      <c r="V151" s="275">
        <f t="shared" si="38"/>
        <v>-6019.9020588980593</v>
      </c>
      <c r="W151" s="275">
        <f t="shared" si="38"/>
        <v>-6004.0430352956519</v>
      </c>
      <c r="X151" s="275">
        <f t="shared" si="38"/>
        <v>-5988.1840116932426</v>
      </c>
      <c r="Y151" s="275">
        <f t="shared" si="38"/>
        <v>-5972.3249880908352</v>
      </c>
      <c r="Z151" s="275">
        <f t="shared" si="38"/>
        <v>-5956.4659644884296</v>
      </c>
      <c r="AA151" s="275">
        <f t="shared" si="38"/>
        <v>-5940.6069408860203</v>
      </c>
      <c r="AB151" s="275">
        <f t="shared" si="38"/>
        <v>-5924.7479172836138</v>
      </c>
      <c r="AC151" s="288">
        <f>AC150*$D$151</f>
        <v>-5908.8888936812045</v>
      </c>
      <c r="AD151" s="383">
        <f t="shared" si="28"/>
        <v>-132193.60108033579</v>
      </c>
    </row>
    <row r="152" spans="1:30" s="112" customFormat="1" ht="12">
      <c r="A152" s="58"/>
      <c r="C152" s="78" t="s">
        <v>560</v>
      </c>
      <c r="D152" s="229">
        <f>'Mode Operating Assumptions'!D192</f>
        <v>2.5164317528336415E-6</v>
      </c>
      <c r="E152" s="236"/>
      <c r="F152" s="55">
        <f t="shared" ref="F152:AC152" si="39">$D$152*(F$11+F$12)</f>
        <v>0</v>
      </c>
      <c r="G152" s="55">
        <f t="shared" si="39"/>
        <v>0</v>
      </c>
      <c r="H152" s="55">
        <f t="shared" si="39"/>
        <v>2.8629433874695177E-2</v>
      </c>
      <c r="I152" s="55">
        <f t="shared" si="39"/>
        <v>2.8894533338718466E-2</v>
      </c>
      <c r="J152" s="55">
        <f t="shared" si="39"/>
        <v>2.9159632802741753E-2</v>
      </c>
      <c r="K152" s="55">
        <f t="shared" si="39"/>
        <v>2.942473226676505E-2</v>
      </c>
      <c r="L152" s="55">
        <f t="shared" si="39"/>
        <v>2.9689831730788353E-2</v>
      </c>
      <c r="M152" s="55">
        <f t="shared" si="39"/>
        <v>2.9954931194811647E-2</v>
      </c>
      <c r="N152" s="55">
        <f t="shared" si="39"/>
        <v>3.0220030658834933E-2</v>
      </c>
      <c r="O152" s="55">
        <f t="shared" si="39"/>
        <v>3.0142061278446205E-2</v>
      </c>
      <c r="P152" s="55">
        <f t="shared" si="39"/>
        <v>3.0064091898057466E-2</v>
      </c>
      <c r="Q152" s="55">
        <f t="shared" si="39"/>
        <v>2.9986122517668735E-2</v>
      </c>
      <c r="R152" s="55">
        <f t="shared" si="39"/>
        <v>2.9908153137280003E-2</v>
      </c>
      <c r="S152" s="55">
        <f t="shared" si="39"/>
        <v>2.9830183756891254E-2</v>
      </c>
      <c r="T152" s="55">
        <f t="shared" si="39"/>
        <v>2.9752214376502533E-2</v>
      </c>
      <c r="U152" s="55">
        <f t="shared" si="39"/>
        <v>2.9674244996113798E-2</v>
      </c>
      <c r="V152" s="55">
        <f t="shared" si="39"/>
        <v>2.9596275615725056E-2</v>
      </c>
      <c r="W152" s="55">
        <f t="shared" si="39"/>
        <v>2.9518306235336324E-2</v>
      </c>
      <c r="X152" s="55">
        <f t="shared" si="39"/>
        <v>2.9440336854947582E-2</v>
      </c>
      <c r="Y152" s="55">
        <f t="shared" si="39"/>
        <v>2.9362367474558851E-2</v>
      </c>
      <c r="Z152" s="55">
        <f t="shared" si="39"/>
        <v>2.9284398094170123E-2</v>
      </c>
      <c r="AA152" s="55">
        <f t="shared" si="39"/>
        <v>2.9206428713781384E-2</v>
      </c>
      <c r="AB152" s="55">
        <f t="shared" si="39"/>
        <v>2.9128459333392656E-2</v>
      </c>
      <c r="AC152" s="290">
        <f t="shared" si="39"/>
        <v>2.9050489953003914E-2</v>
      </c>
      <c r="AD152" s="376">
        <f t="shared" si="28"/>
        <v>0.64991726010323159</v>
      </c>
    </row>
    <row r="153" spans="1:30" s="112" customFormat="1" ht="12">
      <c r="A153" s="58"/>
      <c r="C153" s="49" t="s">
        <v>41</v>
      </c>
      <c r="D153" s="328">
        <f>-'Mode Operating Assumptions'!C177</f>
        <v>-291400</v>
      </c>
      <c r="E153" s="236"/>
      <c r="F153" s="275">
        <f>F152*$D$153</f>
        <v>0</v>
      </c>
      <c r="G153" s="275">
        <f t="shared" ref="G153:AC153" si="40">G152*$D$153</f>
        <v>0</v>
      </c>
      <c r="H153" s="275">
        <f t="shared" si="40"/>
        <v>-8342.6170310861744</v>
      </c>
      <c r="I153" s="275">
        <f t="shared" si="40"/>
        <v>-8419.867014902562</v>
      </c>
      <c r="J153" s="275">
        <f t="shared" si="40"/>
        <v>-8497.116998718946</v>
      </c>
      <c r="K153" s="275">
        <f t="shared" si="40"/>
        <v>-8574.3669825353354</v>
      </c>
      <c r="L153" s="275">
        <f t="shared" si="40"/>
        <v>-8651.6169663517267</v>
      </c>
      <c r="M153" s="275">
        <f t="shared" si="40"/>
        <v>-8728.8669501681143</v>
      </c>
      <c r="N153" s="275">
        <f t="shared" si="40"/>
        <v>-8806.1169339845001</v>
      </c>
      <c r="O153" s="275">
        <f t="shared" si="40"/>
        <v>-8783.3966565392238</v>
      </c>
      <c r="P153" s="275">
        <f t="shared" si="40"/>
        <v>-8760.6763790939458</v>
      </c>
      <c r="Q153" s="275">
        <f t="shared" si="40"/>
        <v>-8737.9561016486696</v>
      </c>
      <c r="R153" s="275">
        <f t="shared" si="40"/>
        <v>-8715.2358242033933</v>
      </c>
      <c r="S153" s="275">
        <f t="shared" si="40"/>
        <v>-8692.5155467581117</v>
      </c>
      <c r="T153" s="275">
        <f t="shared" si="40"/>
        <v>-8669.7952693128373</v>
      </c>
      <c r="U153" s="275">
        <f t="shared" si="40"/>
        <v>-8647.074991867561</v>
      </c>
      <c r="V153" s="275">
        <f t="shared" si="40"/>
        <v>-8624.3547144222812</v>
      </c>
      <c r="W153" s="275">
        <f t="shared" si="40"/>
        <v>-8601.634436977005</v>
      </c>
      <c r="X153" s="275">
        <f t="shared" si="40"/>
        <v>-8578.9141595317251</v>
      </c>
      <c r="Y153" s="275">
        <f t="shared" si="40"/>
        <v>-8556.1938820864489</v>
      </c>
      <c r="Z153" s="275">
        <f t="shared" si="40"/>
        <v>-8533.4736046411745</v>
      </c>
      <c r="AA153" s="275">
        <f t="shared" si="40"/>
        <v>-8510.7533271958946</v>
      </c>
      <c r="AB153" s="275">
        <f t="shared" si="40"/>
        <v>-8488.0330497506202</v>
      </c>
      <c r="AC153" s="288">
        <f t="shared" si="40"/>
        <v>-8465.3127723053403</v>
      </c>
      <c r="AD153" s="383">
        <f t="shared" si="28"/>
        <v>-189385.88959408156</v>
      </c>
    </row>
    <row r="154" spans="1:30" s="112" customFormat="1" ht="12">
      <c r="A154" s="58"/>
      <c r="C154" s="49"/>
      <c r="D154" s="328"/>
      <c r="E154" s="236"/>
      <c r="F154" s="275"/>
      <c r="G154" s="275"/>
      <c r="H154" s="275"/>
      <c r="I154" s="275"/>
      <c r="J154" s="275"/>
      <c r="K154" s="275"/>
      <c r="L154" s="275"/>
      <c r="M154" s="275"/>
      <c r="N154" s="275"/>
      <c r="O154" s="275"/>
      <c r="P154" s="275"/>
      <c r="Q154" s="275"/>
      <c r="R154" s="275"/>
      <c r="S154" s="275"/>
      <c r="T154" s="275"/>
      <c r="U154" s="275"/>
      <c r="V154" s="275"/>
      <c r="W154" s="275"/>
      <c r="X154" s="275"/>
      <c r="Y154" s="275"/>
      <c r="Z154" s="275"/>
      <c r="AA154" s="275"/>
      <c r="AB154" s="275"/>
      <c r="AC154" s="288"/>
      <c r="AD154" s="383"/>
    </row>
    <row r="155" spans="1:30" s="112" customFormat="1" ht="12">
      <c r="A155" s="58"/>
      <c r="B155" s="469" t="s">
        <v>610</v>
      </c>
      <c r="C155" s="78" t="s">
        <v>608</v>
      </c>
      <c r="D155" s="467">
        <v>-0.2</v>
      </c>
      <c r="E155" s="236"/>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283"/>
      <c r="AD155" s="360">
        <f>SUM(F155:AC155)</f>
        <v>0</v>
      </c>
    </row>
    <row r="156" spans="1:30" s="112" customFormat="1" ht="12">
      <c r="A156" s="58"/>
      <c r="B156" s="58"/>
      <c r="C156" s="78" t="s">
        <v>559</v>
      </c>
      <c r="D156" s="229">
        <f>D150*D$155</f>
        <v>-1.6511093061547371E-8</v>
      </c>
      <c r="E156" s="236"/>
      <c r="F156" s="55">
        <f>$D156*(F$10+F$11+F$12)</f>
        <v>0</v>
      </c>
      <c r="G156" s="55">
        <f t="shared" ref="G156:AC156" si="41">$D156*(G$10+G$11+G$12)</f>
        <v>0</v>
      </c>
      <c r="H156" s="55">
        <f t="shared" si="41"/>
        <v>-3.9447794186814704E-3</v>
      </c>
      <c r="I156" s="55">
        <f t="shared" si="41"/>
        <v>-3.9813068231058686E-3</v>
      </c>
      <c r="J156" s="55">
        <f t="shared" si="41"/>
        <v>-4.0178342275302668E-3</v>
      </c>
      <c r="K156" s="55">
        <f t="shared" si="41"/>
        <v>-4.0543616319546651E-3</v>
      </c>
      <c r="L156" s="55">
        <f t="shared" si="41"/>
        <v>-4.0908890363790659E-3</v>
      </c>
      <c r="M156" s="55">
        <f t="shared" si="41"/>
        <v>-4.1274164408034641E-3</v>
      </c>
      <c r="N156" s="55">
        <f t="shared" si="41"/>
        <v>-4.1639438452278632E-3</v>
      </c>
      <c r="O156" s="55">
        <f t="shared" si="41"/>
        <v>-4.1532006356907484E-3</v>
      </c>
      <c r="P156" s="55">
        <f t="shared" si="41"/>
        <v>-4.1424574261536336E-3</v>
      </c>
      <c r="Q156" s="55">
        <f t="shared" si="41"/>
        <v>-4.1317142166165189E-3</v>
      </c>
      <c r="R156" s="55">
        <f t="shared" si="41"/>
        <v>-4.1209710070794041E-3</v>
      </c>
      <c r="S156" s="55">
        <f t="shared" si="41"/>
        <v>-4.1102277975422876E-3</v>
      </c>
      <c r="T156" s="55">
        <f t="shared" si="41"/>
        <v>-4.0994845880051745E-3</v>
      </c>
      <c r="U156" s="55">
        <f t="shared" si="41"/>
        <v>-4.0887413784680589E-3</v>
      </c>
      <c r="V156" s="55">
        <f t="shared" si="41"/>
        <v>-4.0779981689309432E-3</v>
      </c>
      <c r="W156" s="55">
        <f t="shared" si="41"/>
        <v>-4.0672549593938285E-3</v>
      </c>
      <c r="X156" s="55">
        <f t="shared" si="41"/>
        <v>-4.0565117498567128E-3</v>
      </c>
      <c r="Y156" s="55">
        <f t="shared" si="41"/>
        <v>-4.045768540319598E-3</v>
      </c>
      <c r="Z156" s="55">
        <f t="shared" si="41"/>
        <v>-4.0350253307824832E-3</v>
      </c>
      <c r="AA156" s="55">
        <f t="shared" si="41"/>
        <v>-4.0242821212453685E-3</v>
      </c>
      <c r="AB156" s="55">
        <f t="shared" si="41"/>
        <v>-4.0135389117082546E-3</v>
      </c>
      <c r="AC156" s="290">
        <f t="shared" si="41"/>
        <v>-4.0027957021711389E-3</v>
      </c>
      <c r="AD156" s="361">
        <f>SUM(F156:AC156)</f>
        <v>-8.9550503957646813E-2</v>
      </c>
    </row>
    <row r="157" spans="1:30" s="112" customFormat="1" ht="12">
      <c r="A157" s="58"/>
      <c r="B157" s="58"/>
      <c r="C157" s="49" t="s">
        <v>40</v>
      </c>
      <c r="D157" s="328">
        <f>D151</f>
        <v>-6200000</v>
      </c>
      <c r="E157" s="236"/>
      <c r="F157" s="337">
        <f>F156*$D157</f>
        <v>0</v>
      </c>
      <c r="G157" s="337">
        <f t="shared" ref="G157:AC157" si="42">G156*$D157</f>
        <v>0</v>
      </c>
      <c r="H157" s="337">
        <f t="shared" si="42"/>
        <v>24457.632395825116</v>
      </c>
      <c r="I157" s="337">
        <f t="shared" si="42"/>
        <v>24684.102303256386</v>
      </c>
      <c r="J157" s="337">
        <f t="shared" si="42"/>
        <v>24910.572210687653</v>
      </c>
      <c r="K157" s="337">
        <f t="shared" si="42"/>
        <v>25137.042118118923</v>
      </c>
      <c r="L157" s="337">
        <f t="shared" si="42"/>
        <v>25363.512025550208</v>
      </c>
      <c r="M157" s="337">
        <f t="shared" si="42"/>
        <v>25589.981932981478</v>
      </c>
      <c r="N157" s="337">
        <f t="shared" si="42"/>
        <v>25816.451840412752</v>
      </c>
      <c r="O157" s="337">
        <f t="shared" si="42"/>
        <v>25749.843941282641</v>
      </c>
      <c r="P157" s="337">
        <f t="shared" si="42"/>
        <v>25683.23604215253</v>
      </c>
      <c r="Q157" s="337">
        <f t="shared" si="42"/>
        <v>25616.628143022415</v>
      </c>
      <c r="R157" s="337">
        <f t="shared" si="42"/>
        <v>25550.020243892304</v>
      </c>
      <c r="S157" s="337">
        <f t="shared" si="42"/>
        <v>25483.412344762182</v>
      </c>
      <c r="T157" s="337">
        <f t="shared" si="42"/>
        <v>25416.804445632082</v>
      </c>
      <c r="U157" s="337">
        <f t="shared" si="42"/>
        <v>25350.196546501964</v>
      </c>
      <c r="V157" s="337">
        <f t="shared" si="42"/>
        <v>25283.588647371849</v>
      </c>
      <c r="W157" s="337">
        <f t="shared" si="42"/>
        <v>25216.980748241738</v>
      </c>
      <c r="X157" s="337">
        <f t="shared" si="42"/>
        <v>25150.37284911162</v>
      </c>
      <c r="Y157" s="337">
        <f t="shared" si="42"/>
        <v>25083.764949981509</v>
      </c>
      <c r="Z157" s="337">
        <f t="shared" si="42"/>
        <v>25017.157050851398</v>
      </c>
      <c r="AA157" s="337">
        <f t="shared" si="42"/>
        <v>24950.549151721283</v>
      </c>
      <c r="AB157" s="337">
        <f t="shared" si="42"/>
        <v>24883.941252591179</v>
      </c>
      <c r="AC157" s="414">
        <f t="shared" si="42"/>
        <v>24817.333353461061</v>
      </c>
      <c r="AD157" s="382">
        <f>SUM(F157:AC157)</f>
        <v>555213.12453741033</v>
      </c>
    </row>
    <row r="158" spans="1:30" s="112" customFormat="1" ht="12">
      <c r="A158" s="58"/>
      <c r="B158" s="58"/>
      <c r="C158" s="78" t="s">
        <v>560</v>
      </c>
      <c r="D158" s="229">
        <f>D152*D$155</f>
        <v>-5.032863505667283E-7</v>
      </c>
      <c r="E158" s="236"/>
      <c r="F158" s="55">
        <f>$D158*(F$10+F$11+F$12)</f>
        <v>0</v>
      </c>
      <c r="G158" s="55">
        <f t="shared" ref="G158:AC158" si="43">$D158*(G$10+G$11+G$12)</f>
        <v>0</v>
      </c>
      <c r="H158" s="55">
        <f t="shared" si="43"/>
        <v>-0.12024362227371975</v>
      </c>
      <c r="I158" s="55">
        <f t="shared" si="43"/>
        <v>-0.12135704002261756</v>
      </c>
      <c r="J158" s="55">
        <f t="shared" si="43"/>
        <v>-0.1224704577715154</v>
      </c>
      <c r="K158" s="55">
        <f t="shared" si="43"/>
        <v>-0.12358387552041321</v>
      </c>
      <c r="L158" s="55">
        <f t="shared" si="43"/>
        <v>-0.12469729326931107</v>
      </c>
      <c r="M158" s="55">
        <f t="shared" si="43"/>
        <v>-0.1258107110182089</v>
      </c>
      <c r="N158" s="55">
        <f t="shared" si="43"/>
        <v>-0.12692412876710674</v>
      </c>
      <c r="O158" s="55">
        <f t="shared" si="43"/>
        <v>-0.12659665736947406</v>
      </c>
      <c r="P158" s="55">
        <f t="shared" si="43"/>
        <v>-0.12626918597184136</v>
      </c>
      <c r="Q158" s="55">
        <f t="shared" si="43"/>
        <v>-0.12594171457420869</v>
      </c>
      <c r="R158" s="55">
        <f t="shared" si="43"/>
        <v>-0.12561424317657602</v>
      </c>
      <c r="S158" s="55">
        <f t="shared" si="43"/>
        <v>-0.12528677177894329</v>
      </c>
      <c r="T158" s="55">
        <f t="shared" si="43"/>
        <v>-0.12495930038131065</v>
      </c>
      <c r="U158" s="55">
        <f t="shared" si="43"/>
        <v>-0.12463182898367796</v>
      </c>
      <c r="V158" s="55">
        <f t="shared" si="43"/>
        <v>-0.12430435758604523</v>
      </c>
      <c r="W158" s="55">
        <f t="shared" si="43"/>
        <v>-0.12397688618841256</v>
      </c>
      <c r="X158" s="55">
        <f t="shared" si="43"/>
        <v>-0.12364941479077984</v>
      </c>
      <c r="Y158" s="55">
        <f t="shared" si="43"/>
        <v>-0.12332194339314718</v>
      </c>
      <c r="Z158" s="55">
        <f t="shared" si="43"/>
        <v>-0.1229944719955145</v>
      </c>
      <c r="AA158" s="55">
        <f t="shared" si="43"/>
        <v>-0.12266700059788183</v>
      </c>
      <c r="AB158" s="55">
        <f t="shared" si="43"/>
        <v>-0.12233952920024915</v>
      </c>
      <c r="AC158" s="290">
        <f t="shared" si="43"/>
        <v>-0.12201205780261644</v>
      </c>
      <c r="AD158" s="361">
        <f>SUM(F158:AC158)</f>
        <v>-2.7296524924335714</v>
      </c>
    </row>
    <row r="159" spans="1:30" s="112" customFormat="1" ht="12">
      <c r="A159" s="58"/>
      <c r="C159" s="49" t="s">
        <v>41</v>
      </c>
      <c r="D159" s="328">
        <f>D153</f>
        <v>-291400</v>
      </c>
      <c r="E159" s="236"/>
      <c r="F159" s="337">
        <f>F158*$D159</f>
        <v>0</v>
      </c>
      <c r="G159" s="337">
        <f t="shared" ref="G159:AC159" si="44">G158*$D159</f>
        <v>0</v>
      </c>
      <c r="H159" s="337">
        <f t="shared" si="44"/>
        <v>35038.991530561936</v>
      </c>
      <c r="I159" s="337">
        <f t="shared" si="44"/>
        <v>35363.441462590759</v>
      </c>
      <c r="J159" s="337">
        <f t="shared" si="44"/>
        <v>35687.89139461959</v>
      </c>
      <c r="K159" s="337">
        <f t="shared" si="44"/>
        <v>36012.341326648406</v>
      </c>
      <c r="L159" s="337">
        <f t="shared" si="44"/>
        <v>36336.791258677244</v>
      </c>
      <c r="M159" s="337">
        <f t="shared" si="44"/>
        <v>36661.241190706074</v>
      </c>
      <c r="N159" s="337">
        <f t="shared" si="44"/>
        <v>36985.691122734905</v>
      </c>
      <c r="O159" s="337">
        <f t="shared" si="44"/>
        <v>36890.26595746474</v>
      </c>
      <c r="P159" s="337">
        <f t="shared" si="44"/>
        <v>36794.840792194576</v>
      </c>
      <c r="Q159" s="337">
        <f t="shared" si="44"/>
        <v>36699.415626924412</v>
      </c>
      <c r="R159" s="337">
        <f t="shared" si="44"/>
        <v>36603.990461654248</v>
      </c>
      <c r="S159" s="337">
        <f t="shared" si="44"/>
        <v>36508.565296384077</v>
      </c>
      <c r="T159" s="337">
        <f t="shared" si="44"/>
        <v>36413.14013111392</v>
      </c>
      <c r="U159" s="337">
        <f t="shared" si="44"/>
        <v>36317.714965843756</v>
      </c>
      <c r="V159" s="337">
        <f t="shared" si="44"/>
        <v>36222.289800573577</v>
      </c>
      <c r="W159" s="337">
        <f t="shared" si="44"/>
        <v>36126.86463530342</v>
      </c>
      <c r="X159" s="337">
        <f t="shared" si="44"/>
        <v>36031.439470033249</v>
      </c>
      <c r="Y159" s="337">
        <f t="shared" si="44"/>
        <v>35936.014304763092</v>
      </c>
      <c r="Z159" s="337">
        <f t="shared" si="44"/>
        <v>35840.589139492928</v>
      </c>
      <c r="AA159" s="337">
        <f t="shared" si="44"/>
        <v>35745.163974222763</v>
      </c>
      <c r="AB159" s="337">
        <f t="shared" si="44"/>
        <v>35649.738808952607</v>
      </c>
      <c r="AC159" s="414">
        <f t="shared" si="44"/>
        <v>35554.313643682428</v>
      </c>
      <c r="AD159" s="382">
        <f>SUM(F159:AC159)</f>
        <v>795420.73629514279</v>
      </c>
    </row>
    <row r="160" spans="1:30" s="112" customFormat="1" ht="12">
      <c r="A160" s="58"/>
      <c r="C160" s="49"/>
      <c r="D160" s="328"/>
      <c r="E160" s="236"/>
      <c r="F160" s="337"/>
      <c r="G160" s="337"/>
      <c r="H160" s="337"/>
      <c r="I160" s="337"/>
      <c r="J160" s="337"/>
      <c r="K160" s="337"/>
      <c r="L160" s="337"/>
      <c r="M160" s="337"/>
      <c r="N160" s="337"/>
      <c r="O160" s="337"/>
      <c r="P160" s="337"/>
      <c r="Q160" s="337"/>
      <c r="R160" s="337"/>
      <c r="S160" s="337"/>
      <c r="T160" s="337"/>
      <c r="U160" s="337"/>
      <c r="V160" s="337"/>
      <c r="W160" s="337"/>
      <c r="X160" s="337"/>
      <c r="Y160" s="337"/>
      <c r="Z160" s="337"/>
      <c r="AA160" s="337"/>
      <c r="AB160" s="337"/>
      <c r="AC160" s="414"/>
      <c r="AD160" s="382"/>
    </row>
    <row r="161" spans="1:30" s="112" customFormat="1" ht="12">
      <c r="A161" s="58"/>
      <c r="B161" s="58" t="s">
        <v>225</v>
      </c>
      <c r="D161" s="229"/>
      <c r="E161" s="236"/>
      <c r="AC161" s="282"/>
      <c r="AD161" s="360">
        <f t="shared" si="28"/>
        <v>0</v>
      </c>
    </row>
    <row r="162" spans="1:30" s="112" customFormat="1" ht="12">
      <c r="A162" s="58"/>
      <c r="B162" s="468" t="s">
        <v>609</v>
      </c>
      <c r="C162" s="78" t="s">
        <v>535</v>
      </c>
      <c r="D162" s="229"/>
      <c r="E162" s="236"/>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290"/>
      <c r="AD162" s="376">
        <f t="shared" si="28"/>
        <v>0</v>
      </c>
    </row>
    <row r="163" spans="1:30" s="112" customFormat="1" ht="12">
      <c r="A163" s="58"/>
      <c r="C163" s="78" t="s">
        <v>559</v>
      </c>
      <c r="D163" s="229">
        <f>'Mode Operating Assumptions'!$D$197</f>
        <v>1.8722590666405648E-7</v>
      </c>
      <c r="E163" s="236"/>
      <c r="F163" s="55">
        <f t="shared" ref="F163:AC163" si="45">$D$163*(F$16+F$17)</f>
        <v>0</v>
      </c>
      <c r="G163" s="55">
        <f t="shared" si="45"/>
        <v>0</v>
      </c>
      <c r="H163" s="55">
        <f t="shared" si="45"/>
        <v>4.034276626887855E-5</v>
      </c>
      <c r="I163" s="55">
        <f t="shared" si="45"/>
        <v>4.0716327470329676E-5</v>
      </c>
      <c r="J163" s="55">
        <f t="shared" si="45"/>
        <v>4.1089888671780795E-5</v>
      </c>
      <c r="K163" s="55">
        <f t="shared" si="45"/>
        <v>4.1463449873231928E-5</v>
      </c>
      <c r="L163" s="55">
        <f t="shared" si="45"/>
        <v>4.1837011074683054E-5</v>
      </c>
      <c r="M163" s="55">
        <f t="shared" si="45"/>
        <v>4.221057227613418E-5</v>
      </c>
      <c r="N163" s="55">
        <f t="shared" si="45"/>
        <v>4.2584133477585305E-5</v>
      </c>
      <c r="O163" s="55">
        <f t="shared" si="45"/>
        <v>4.2474264015865634E-5</v>
      </c>
      <c r="P163" s="55">
        <f t="shared" si="45"/>
        <v>4.2364394554145943E-5</v>
      </c>
      <c r="Q163" s="55">
        <f t="shared" si="45"/>
        <v>4.2254525092426265E-5</v>
      </c>
      <c r="R163" s="55">
        <f t="shared" si="45"/>
        <v>4.2144655630706587E-5</v>
      </c>
      <c r="S163" s="55">
        <f t="shared" si="45"/>
        <v>4.2034786168986896E-5</v>
      </c>
      <c r="T163" s="55">
        <f t="shared" si="45"/>
        <v>4.1924916707267225E-5</v>
      </c>
      <c r="U163" s="55">
        <f t="shared" si="45"/>
        <v>4.181504724554754E-5</v>
      </c>
      <c r="V163" s="55">
        <f t="shared" si="45"/>
        <v>4.1705177783827849E-5</v>
      </c>
      <c r="W163" s="55">
        <f t="shared" si="45"/>
        <v>4.1595308322108158E-5</v>
      </c>
      <c r="X163" s="55">
        <f t="shared" si="45"/>
        <v>4.1485438860388473E-5</v>
      </c>
      <c r="Y163" s="55">
        <f t="shared" si="45"/>
        <v>4.1375569398668795E-5</v>
      </c>
      <c r="Z163" s="55">
        <f t="shared" si="45"/>
        <v>4.1265699936949117E-5</v>
      </c>
      <c r="AA163" s="55">
        <f t="shared" si="45"/>
        <v>4.1155830475229433E-5</v>
      </c>
      <c r="AB163" s="55">
        <f t="shared" si="45"/>
        <v>4.1045961013509762E-5</v>
      </c>
      <c r="AC163" s="290">
        <f t="shared" si="45"/>
        <v>4.0936091551790077E-5</v>
      </c>
      <c r="AD163" s="376">
        <f t="shared" si="28"/>
        <v>9.1582181587004127E-4</v>
      </c>
    </row>
    <row r="164" spans="1:30" s="112" customFormat="1" ht="12">
      <c r="A164" s="58"/>
      <c r="C164" s="49" t="s">
        <v>40</v>
      </c>
      <c r="D164" s="328">
        <f>D151</f>
        <v>-6200000</v>
      </c>
      <c r="E164" s="236"/>
      <c r="F164" s="275">
        <f>F163*$D$164</f>
        <v>0</v>
      </c>
      <c r="G164" s="275">
        <f t="shared" ref="G164:AC164" si="46">G163*$D$164</f>
        <v>0</v>
      </c>
      <c r="H164" s="275">
        <f t="shared" si="46"/>
        <v>-250.12515086704701</v>
      </c>
      <c r="I164" s="275">
        <f t="shared" si="46"/>
        <v>-252.441230316044</v>
      </c>
      <c r="J164" s="275">
        <f t="shared" si="46"/>
        <v>-254.75730976504093</v>
      </c>
      <c r="K164" s="275">
        <f t="shared" si="46"/>
        <v>-257.07338921403795</v>
      </c>
      <c r="L164" s="275">
        <f t="shared" si="46"/>
        <v>-259.38946866303496</v>
      </c>
      <c r="M164" s="275">
        <f t="shared" si="46"/>
        <v>-261.70554811203192</v>
      </c>
      <c r="N164" s="275">
        <f t="shared" si="46"/>
        <v>-264.02162756102888</v>
      </c>
      <c r="O164" s="275">
        <f t="shared" si="46"/>
        <v>-263.34043689836693</v>
      </c>
      <c r="P164" s="275">
        <f t="shared" si="46"/>
        <v>-262.65924623570487</v>
      </c>
      <c r="Q164" s="275">
        <f t="shared" si="46"/>
        <v>-261.97805557304287</v>
      </c>
      <c r="R164" s="275">
        <f t="shared" si="46"/>
        <v>-261.29686491038086</v>
      </c>
      <c r="S164" s="275">
        <f t="shared" si="46"/>
        <v>-260.61567424771874</v>
      </c>
      <c r="T164" s="275">
        <f t="shared" si="46"/>
        <v>-259.9344835850568</v>
      </c>
      <c r="U164" s="275">
        <f t="shared" si="46"/>
        <v>-259.25329292239473</v>
      </c>
      <c r="V164" s="275">
        <f t="shared" si="46"/>
        <v>-258.57210225973267</v>
      </c>
      <c r="W164" s="275">
        <f t="shared" si="46"/>
        <v>-257.89091159707056</v>
      </c>
      <c r="X164" s="275">
        <f t="shared" si="46"/>
        <v>-257.20972093440855</v>
      </c>
      <c r="Y164" s="275">
        <f t="shared" si="46"/>
        <v>-256.52853027174655</v>
      </c>
      <c r="Z164" s="275">
        <f t="shared" si="46"/>
        <v>-255.84733960908451</v>
      </c>
      <c r="AA164" s="275">
        <f t="shared" si="46"/>
        <v>-255.16614894642248</v>
      </c>
      <c r="AB164" s="275">
        <f t="shared" si="46"/>
        <v>-254.48495828376053</v>
      </c>
      <c r="AC164" s="288">
        <f t="shared" si="46"/>
        <v>-253.80376762109847</v>
      </c>
      <c r="AD164" s="369">
        <f t="shared" si="28"/>
        <v>-5678.0952583942562</v>
      </c>
    </row>
    <row r="165" spans="1:30" s="112" customFormat="1" ht="12">
      <c r="A165" s="58"/>
      <c r="C165" s="78" t="s">
        <v>560</v>
      </c>
      <c r="D165" s="229">
        <f>'Mode Operating Assumptions'!$D$198</f>
        <v>8.7375046258002826E-6</v>
      </c>
      <c r="E165" s="236"/>
      <c r="F165" s="55">
        <f t="shared" ref="F165:AC165" si="47">$D$165*(F$16+F$17)</f>
        <v>0</v>
      </c>
      <c r="G165" s="55">
        <f t="shared" si="47"/>
        <v>0</v>
      </c>
      <c r="H165" s="55">
        <f t="shared" si="47"/>
        <v>1.882726131081825E-3</v>
      </c>
      <c r="I165" s="55">
        <f t="shared" si="47"/>
        <v>1.9001595770394692E-3</v>
      </c>
      <c r="J165" s="55">
        <f t="shared" si="47"/>
        <v>1.9175930229971127E-3</v>
      </c>
      <c r="K165" s="55">
        <f t="shared" si="47"/>
        <v>1.9350264689547568E-3</v>
      </c>
      <c r="L165" s="55">
        <f t="shared" si="47"/>
        <v>1.952459914912401E-3</v>
      </c>
      <c r="M165" s="55">
        <f t="shared" si="47"/>
        <v>1.9698933608700447E-3</v>
      </c>
      <c r="N165" s="55">
        <f t="shared" si="47"/>
        <v>1.9873268068276891E-3</v>
      </c>
      <c r="O165" s="55">
        <f t="shared" si="47"/>
        <v>1.9821993917860711E-3</v>
      </c>
      <c r="P165" s="55">
        <f t="shared" si="47"/>
        <v>1.9770719767444522E-3</v>
      </c>
      <c r="Q165" s="55">
        <f t="shared" si="47"/>
        <v>1.9719445617028342E-3</v>
      </c>
      <c r="R165" s="55">
        <f t="shared" si="47"/>
        <v>1.9668171466612162E-3</v>
      </c>
      <c r="S165" s="55">
        <f t="shared" si="47"/>
        <v>1.9616897316195973E-3</v>
      </c>
      <c r="T165" s="55">
        <f t="shared" si="47"/>
        <v>1.9565623165779793E-3</v>
      </c>
      <c r="U165" s="55">
        <f t="shared" si="47"/>
        <v>1.9514349015363611E-3</v>
      </c>
      <c r="V165" s="55">
        <f t="shared" si="47"/>
        <v>1.9463074864947423E-3</v>
      </c>
      <c r="W165" s="55">
        <f t="shared" si="47"/>
        <v>1.9411800714531238E-3</v>
      </c>
      <c r="X165" s="55">
        <f t="shared" si="47"/>
        <v>1.9360526564115052E-3</v>
      </c>
      <c r="Y165" s="55">
        <f t="shared" si="47"/>
        <v>1.9309252413698872E-3</v>
      </c>
      <c r="Z165" s="55">
        <f t="shared" si="47"/>
        <v>1.925797826328269E-3</v>
      </c>
      <c r="AA165" s="55">
        <f t="shared" si="47"/>
        <v>1.9206704112866505E-3</v>
      </c>
      <c r="AB165" s="55">
        <f t="shared" si="47"/>
        <v>1.9155429962450328E-3</v>
      </c>
      <c r="AC165" s="290">
        <f t="shared" si="47"/>
        <v>1.9104155812034145E-3</v>
      </c>
      <c r="AD165" s="376">
        <f t="shared" si="28"/>
        <v>4.273979758010444E-2</v>
      </c>
    </row>
    <row r="166" spans="1:30" s="112" customFormat="1" ht="12">
      <c r="A166" s="58"/>
      <c r="C166" s="49" t="s">
        <v>41</v>
      </c>
      <c r="D166" s="328">
        <f>D153</f>
        <v>-291400</v>
      </c>
      <c r="E166" s="236"/>
      <c r="F166" s="275">
        <f>F165*$D$166</f>
        <v>0</v>
      </c>
      <c r="G166" s="275">
        <f t="shared" ref="G166:AC166" si="48">G165*$D$166</f>
        <v>0</v>
      </c>
      <c r="H166" s="275">
        <f t="shared" si="48"/>
        <v>-548.6263945972438</v>
      </c>
      <c r="I166" s="275">
        <f t="shared" si="48"/>
        <v>-553.70650074930131</v>
      </c>
      <c r="J166" s="275">
        <f t="shared" si="48"/>
        <v>-558.7866069013586</v>
      </c>
      <c r="K166" s="275">
        <f t="shared" si="48"/>
        <v>-563.86671305341611</v>
      </c>
      <c r="L166" s="275">
        <f t="shared" si="48"/>
        <v>-568.94681920547362</v>
      </c>
      <c r="M166" s="275">
        <f t="shared" si="48"/>
        <v>-574.02692535753101</v>
      </c>
      <c r="N166" s="275">
        <f t="shared" si="48"/>
        <v>-579.10703150958864</v>
      </c>
      <c r="O166" s="275">
        <f t="shared" si="48"/>
        <v>-577.61290276646116</v>
      </c>
      <c r="P166" s="275">
        <f t="shared" si="48"/>
        <v>-576.11877402333334</v>
      </c>
      <c r="Q166" s="275">
        <f t="shared" si="48"/>
        <v>-574.62464528020587</v>
      </c>
      <c r="R166" s="275">
        <f t="shared" si="48"/>
        <v>-573.13051653707839</v>
      </c>
      <c r="S166" s="275">
        <f t="shared" si="48"/>
        <v>-571.63638779395069</v>
      </c>
      <c r="T166" s="275">
        <f t="shared" si="48"/>
        <v>-570.14225905082321</v>
      </c>
      <c r="U166" s="275">
        <f t="shared" si="48"/>
        <v>-568.64813030769562</v>
      </c>
      <c r="V166" s="275">
        <f t="shared" si="48"/>
        <v>-567.15400156456792</v>
      </c>
      <c r="W166" s="275">
        <f t="shared" si="48"/>
        <v>-565.65987282144033</v>
      </c>
      <c r="X166" s="275">
        <f t="shared" si="48"/>
        <v>-564.16574407831263</v>
      </c>
      <c r="Y166" s="275">
        <f t="shared" si="48"/>
        <v>-562.67161533518515</v>
      </c>
      <c r="Z166" s="275">
        <f t="shared" si="48"/>
        <v>-561.17748659205756</v>
      </c>
      <c r="AA166" s="275">
        <f t="shared" si="48"/>
        <v>-559.68335784892997</v>
      </c>
      <c r="AB166" s="275">
        <f t="shared" si="48"/>
        <v>-558.1892291058025</v>
      </c>
      <c r="AC166" s="288">
        <f t="shared" si="48"/>
        <v>-556.69510036267502</v>
      </c>
      <c r="AD166" s="369">
        <f t="shared" si="28"/>
        <v>-12454.377014842434</v>
      </c>
    </row>
    <row r="167" spans="1:30" s="112" customFormat="1" ht="12">
      <c r="A167" s="58"/>
      <c r="C167" s="49"/>
      <c r="D167" s="328"/>
      <c r="E167" s="236"/>
      <c r="F167" s="275"/>
      <c r="G167" s="275"/>
      <c r="H167" s="275"/>
      <c r="I167" s="275"/>
      <c r="J167" s="275"/>
      <c r="K167" s="275"/>
      <c r="L167" s="275"/>
      <c r="M167" s="275"/>
      <c r="N167" s="275"/>
      <c r="O167" s="275"/>
      <c r="P167" s="275"/>
      <c r="Q167" s="275"/>
      <c r="R167" s="275"/>
      <c r="S167" s="275"/>
      <c r="T167" s="275"/>
      <c r="U167" s="275"/>
      <c r="V167" s="275"/>
      <c r="W167" s="275"/>
      <c r="X167" s="275"/>
      <c r="Y167" s="275"/>
      <c r="Z167" s="275"/>
      <c r="AA167" s="275"/>
      <c r="AB167" s="275"/>
      <c r="AC167" s="288"/>
      <c r="AD167" s="369"/>
    </row>
    <row r="168" spans="1:30" s="112" customFormat="1" ht="12">
      <c r="A168" s="58"/>
      <c r="B168" s="469" t="s">
        <v>610</v>
      </c>
      <c r="C168" s="78" t="s">
        <v>608</v>
      </c>
      <c r="D168" s="467">
        <v>-0.1</v>
      </c>
      <c r="E168" s="236"/>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283"/>
      <c r="AD168" s="360">
        <f>SUM(F168:AC168)</f>
        <v>0</v>
      </c>
    </row>
    <row r="169" spans="1:30" s="112" customFormat="1" ht="12">
      <c r="A169" s="58"/>
      <c r="C169" s="78" t="s">
        <v>559</v>
      </c>
      <c r="D169" s="229">
        <f>D163*D$168</f>
        <v>-1.8722590666405649E-8</v>
      </c>
      <c r="E169" s="236"/>
      <c r="F169" s="55">
        <f>$D169*(F$15+F$16+F$17)</f>
        <v>0</v>
      </c>
      <c r="G169" s="55">
        <f t="shared" ref="G169:AC169" si="49">$D169*(G$15+G$16+G$17)</f>
        <v>0</v>
      </c>
      <c r="H169" s="55">
        <f t="shared" si="49"/>
        <v>-8.471980916464497E-5</v>
      </c>
      <c r="I169" s="55">
        <f t="shared" si="49"/>
        <v>-8.5504287687692326E-5</v>
      </c>
      <c r="J169" s="55">
        <f t="shared" si="49"/>
        <v>-8.6288766210739683E-5</v>
      </c>
      <c r="K169" s="55">
        <f t="shared" si="49"/>
        <v>-8.7073244733787067E-5</v>
      </c>
      <c r="L169" s="55">
        <f t="shared" si="49"/>
        <v>-8.7857723256834424E-5</v>
      </c>
      <c r="M169" s="55">
        <f t="shared" si="49"/>
        <v>-8.8642201779881767E-5</v>
      </c>
      <c r="N169" s="55">
        <f t="shared" si="49"/>
        <v>-8.9426680302929151E-5</v>
      </c>
      <c r="O169" s="55">
        <f t="shared" si="49"/>
        <v>-8.9195954433317836E-5</v>
      </c>
      <c r="P169" s="55">
        <f t="shared" si="49"/>
        <v>-8.8965228563706494E-5</v>
      </c>
      <c r="Q169" s="55">
        <f t="shared" si="49"/>
        <v>-8.8734502694095153E-5</v>
      </c>
      <c r="R169" s="55">
        <f t="shared" si="49"/>
        <v>-8.8503776824483838E-5</v>
      </c>
      <c r="S169" s="55">
        <f t="shared" si="49"/>
        <v>-8.8273050954872496E-5</v>
      </c>
      <c r="T169" s="55">
        <f t="shared" si="49"/>
        <v>-8.8042325085261182E-5</v>
      </c>
      <c r="U169" s="55">
        <f t="shared" si="49"/>
        <v>-8.781159921564984E-5</v>
      </c>
      <c r="V169" s="55">
        <f t="shared" si="49"/>
        <v>-8.7580873346038471E-5</v>
      </c>
      <c r="W169" s="55">
        <f t="shared" si="49"/>
        <v>-8.7350147476427143E-5</v>
      </c>
      <c r="X169" s="55">
        <f t="shared" si="49"/>
        <v>-8.7119421606815815E-5</v>
      </c>
      <c r="Y169" s="55">
        <f t="shared" si="49"/>
        <v>-8.6888695737204487E-5</v>
      </c>
      <c r="Z169" s="55">
        <f t="shared" si="49"/>
        <v>-8.6657969867593145E-5</v>
      </c>
      <c r="AA169" s="55">
        <f t="shared" si="49"/>
        <v>-8.6427243997981817E-5</v>
      </c>
      <c r="AB169" s="55">
        <f t="shared" si="49"/>
        <v>-8.6196518128370489E-5</v>
      </c>
      <c r="AC169" s="290">
        <f t="shared" si="49"/>
        <v>-8.5965792258759174E-5</v>
      </c>
      <c r="AD169" s="361">
        <f>SUM(F169:AC169)</f>
        <v>-1.9232258133270866E-3</v>
      </c>
    </row>
    <row r="170" spans="1:30" s="112" customFormat="1" ht="12">
      <c r="A170" s="58"/>
      <c r="B170" s="58"/>
      <c r="C170" s="49" t="s">
        <v>40</v>
      </c>
      <c r="D170" s="328">
        <f>D164</f>
        <v>-6200000</v>
      </c>
      <c r="E170" s="236"/>
      <c r="F170" s="337">
        <f>F169*$D$170</f>
        <v>0</v>
      </c>
      <c r="G170" s="337">
        <f t="shared" ref="G170:AC170" si="50">G169*$D$170</f>
        <v>0</v>
      </c>
      <c r="H170" s="337">
        <f t="shared" si="50"/>
        <v>525.26281682079878</v>
      </c>
      <c r="I170" s="337">
        <f t="shared" si="50"/>
        <v>530.12658366369237</v>
      </c>
      <c r="J170" s="337">
        <f t="shared" si="50"/>
        <v>534.99035050658608</v>
      </c>
      <c r="K170" s="337">
        <f t="shared" si="50"/>
        <v>539.85411734947979</v>
      </c>
      <c r="L170" s="337">
        <f t="shared" si="50"/>
        <v>544.71788419237339</v>
      </c>
      <c r="M170" s="337">
        <f t="shared" si="50"/>
        <v>549.58165103526699</v>
      </c>
      <c r="N170" s="337">
        <f t="shared" si="50"/>
        <v>554.4454178781607</v>
      </c>
      <c r="O170" s="337">
        <f t="shared" si="50"/>
        <v>553.01491748657054</v>
      </c>
      <c r="P170" s="337">
        <f t="shared" si="50"/>
        <v>551.58441709498027</v>
      </c>
      <c r="Q170" s="337">
        <f t="shared" si="50"/>
        <v>550.15391670339</v>
      </c>
      <c r="R170" s="337">
        <f t="shared" si="50"/>
        <v>548.72341631179984</v>
      </c>
      <c r="S170" s="337">
        <f t="shared" si="50"/>
        <v>547.29291592020945</v>
      </c>
      <c r="T170" s="337">
        <f t="shared" si="50"/>
        <v>545.86241552861929</v>
      </c>
      <c r="U170" s="337">
        <f t="shared" si="50"/>
        <v>544.43191513702902</v>
      </c>
      <c r="V170" s="337">
        <f t="shared" si="50"/>
        <v>543.00141474543852</v>
      </c>
      <c r="W170" s="337">
        <f t="shared" si="50"/>
        <v>541.57091435384825</v>
      </c>
      <c r="X170" s="337">
        <f t="shared" si="50"/>
        <v>540.14041396225809</v>
      </c>
      <c r="Y170" s="337">
        <f t="shared" si="50"/>
        <v>538.70991357066782</v>
      </c>
      <c r="Z170" s="337">
        <f t="shared" si="50"/>
        <v>537.27941317907755</v>
      </c>
      <c r="AA170" s="337">
        <f t="shared" si="50"/>
        <v>535.84891278748728</v>
      </c>
      <c r="AB170" s="337">
        <f t="shared" si="50"/>
        <v>534.41841239589701</v>
      </c>
      <c r="AC170" s="414">
        <f t="shared" si="50"/>
        <v>532.98791200430685</v>
      </c>
      <c r="AD170" s="382">
        <f>SUM(F170:AC170)</f>
        <v>11924.000042627937</v>
      </c>
    </row>
    <row r="171" spans="1:30" s="112" customFormat="1" ht="12">
      <c r="A171" s="58"/>
      <c r="B171" s="58"/>
      <c r="C171" s="78" t="s">
        <v>560</v>
      </c>
      <c r="D171" s="229">
        <f>D165*D$168</f>
        <v>-8.7375046258002834E-7</v>
      </c>
      <c r="E171" s="236"/>
      <c r="F171" s="55">
        <f>$D171*(F$15+F$16+F$17)</f>
        <v>0</v>
      </c>
      <c r="G171" s="55">
        <f t="shared" ref="G171:AC171" si="51">$D171*(G$15+G$16+G$17)</f>
        <v>0</v>
      </c>
      <c r="H171" s="55">
        <f t="shared" si="51"/>
        <v>-3.9537248752718329E-3</v>
      </c>
      <c r="I171" s="55">
        <f t="shared" si="51"/>
        <v>-3.9903351117828853E-3</v>
      </c>
      <c r="J171" s="55">
        <f t="shared" si="51"/>
        <v>-4.0269453482939376E-3</v>
      </c>
      <c r="K171" s="55">
        <f t="shared" si="51"/>
        <v>-4.0635555848049908E-3</v>
      </c>
      <c r="L171" s="55">
        <f t="shared" si="51"/>
        <v>-4.1001658213160423E-3</v>
      </c>
      <c r="M171" s="55">
        <f t="shared" si="51"/>
        <v>-4.1367760578270938E-3</v>
      </c>
      <c r="N171" s="55">
        <f t="shared" si="51"/>
        <v>-4.173386294338147E-3</v>
      </c>
      <c r="O171" s="55">
        <f t="shared" si="51"/>
        <v>-4.1626187227507497E-3</v>
      </c>
      <c r="P171" s="55">
        <f t="shared" si="51"/>
        <v>-4.1518511511633507E-3</v>
      </c>
      <c r="Q171" s="55">
        <f t="shared" si="51"/>
        <v>-4.1410835795759517E-3</v>
      </c>
      <c r="R171" s="55">
        <f t="shared" si="51"/>
        <v>-4.1303160079885545E-3</v>
      </c>
      <c r="S171" s="55">
        <f t="shared" si="51"/>
        <v>-4.1195484364011555E-3</v>
      </c>
      <c r="T171" s="55">
        <f t="shared" si="51"/>
        <v>-4.1087808648137573E-3</v>
      </c>
      <c r="U171" s="55">
        <f t="shared" si="51"/>
        <v>-4.0980132932263592E-3</v>
      </c>
      <c r="V171" s="55">
        <f t="shared" si="51"/>
        <v>-4.0872457216389584E-3</v>
      </c>
      <c r="W171" s="55">
        <f t="shared" si="51"/>
        <v>-4.0764781500515603E-3</v>
      </c>
      <c r="X171" s="55">
        <f t="shared" si="51"/>
        <v>-4.0657105784641621E-3</v>
      </c>
      <c r="Y171" s="55">
        <f t="shared" si="51"/>
        <v>-4.054943006876764E-3</v>
      </c>
      <c r="Z171" s="55">
        <f t="shared" si="51"/>
        <v>-4.044175435289365E-3</v>
      </c>
      <c r="AA171" s="55">
        <f t="shared" si="51"/>
        <v>-4.0334078637019669E-3</v>
      </c>
      <c r="AB171" s="55">
        <f t="shared" si="51"/>
        <v>-4.0226402921145687E-3</v>
      </c>
      <c r="AC171" s="290">
        <f t="shared" si="51"/>
        <v>-4.0118727205271706E-3</v>
      </c>
      <c r="AD171" s="361">
        <f>SUM(F171:AC171)</f>
        <v>-8.9753574918219323E-2</v>
      </c>
    </row>
    <row r="172" spans="1:30" s="112" customFormat="1" ht="12">
      <c r="A172" s="58"/>
      <c r="B172" s="58"/>
      <c r="C172" s="49" t="s">
        <v>41</v>
      </c>
      <c r="D172" s="328">
        <f>D166</f>
        <v>-291400</v>
      </c>
      <c r="E172" s="236"/>
      <c r="F172" s="337">
        <f>F171*$D$172</f>
        <v>0</v>
      </c>
      <c r="G172" s="337">
        <f t="shared" ref="G172:AC172" si="52">G171*$D$172</f>
        <v>0</v>
      </c>
      <c r="H172" s="337">
        <f t="shared" si="52"/>
        <v>1152.1154286542121</v>
      </c>
      <c r="I172" s="337">
        <f t="shared" si="52"/>
        <v>1162.7836515735328</v>
      </c>
      <c r="J172" s="337">
        <f t="shared" si="52"/>
        <v>1173.4518744928534</v>
      </c>
      <c r="K172" s="337">
        <f t="shared" si="52"/>
        <v>1184.1200974121743</v>
      </c>
      <c r="L172" s="337">
        <f t="shared" si="52"/>
        <v>1194.7883203314948</v>
      </c>
      <c r="M172" s="337">
        <f t="shared" si="52"/>
        <v>1205.4565432508152</v>
      </c>
      <c r="N172" s="337">
        <f t="shared" si="52"/>
        <v>1216.1247661701361</v>
      </c>
      <c r="O172" s="337">
        <f t="shared" si="52"/>
        <v>1212.9870958095685</v>
      </c>
      <c r="P172" s="337">
        <f t="shared" si="52"/>
        <v>1209.8494254490004</v>
      </c>
      <c r="Q172" s="337">
        <f t="shared" si="52"/>
        <v>1206.7117550884323</v>
      </c>
      <c r="R172" s="337">
        <f t="shared" si="52"/>
        <v>1203.5740847278648</v>
      </c>
      <c r="S172" s="337">
        <f t="shared" si="52"/>
        <v>1200.4364143672967</v>
      </c>
      <c r="T172" s="337">
        <f t="shared" si="52"/>
        <v>1197.2987440067288</v>
      </c>
      <c r="U172" s="337">
        <f t="shared" si="52"/>
        <v>1194.161073646161</v>
      </c>
      <c r="V172" s="337">
        <f t="shared" si="52"/>
        <v>1191.0234032855924</v>
      </c>
      <c r="W172" s="337">
        <f t="shared" si="52"/>
        <v>1187.8857329250247</v>
      </c>
      <c r="X172" s="337">
        <f t="shared" si="52"/>
        <v>1184.7480625644569</v>
      </c>
      <c r="Y172" s="337">
        <f t="shared" si="52"/>
        <v>1181.610392203889</v>
      </c>
      <c r="Z172" s="337">
        <f t="shared" si="52"/>
        <v>1178.4727218433209</v>
      </c>
      <c r="AA172" s="337">
        <f t="shared" si="52"/>
        <v>1175.3350514827532</v>
      </c>
      <c r="AB172" s="337">
        <f t="shared" si="52"/>
        <v>1172.1973811221853</v>
      </c>
      <c r="AC172" s="414">
        <f t="shared" si="52"/>
        <v>1169.0597107616175</v>
      </c>
      <c r="AD172" s="382">
        <f>SUM(F172:AC172)</f>
        <v>26154.19173116911</v>
      </c>
    </row>
    <row r="173" spans="1:30" s="112" customFormat="1" ht="12">
      <c r="A173" s="58"/>
      <c r="B173" s="58"/>
      <c r="C173" s="49"/>
      <c r="D173" s="229"/>
      <c r="E173" s="236"/>
      <c r="F173" s="275"/>
      <c r="G173" s="275"/>
      <c r="H173" s="275"/>
      <c r="I173" s="275"/>
      <c r="J173" s="275"/>
      <c r="K173" s="275"/>
      <c r="L173" s="275"/>
      <c r="M173" s="275"/>
      <c r="N173" s="275"/>
      <c r="O173" s="275"/>
      <c r="P173" s="275"/>
      <c r="Q173" s="275"/>
      <c r="R173" s="275"/>
      <c r="S173" s="275"/>
      <c r="T173" s="275"/>
      <c r="U173" s="275"/>
      <c r="V173" s="275"/>
      <c r="W173" s="275"/>
      <c r="X173" s="275"/>
      <c r="Y173" s="275"/>
      <c r="Z173" s="275"/>
      <c r="AA173" s="275"/>
      <c r="AB173" s="275"/>
      <c r="AC173" s="288"/>
      <c r="AD173" s="369">
        <f t="shared" si="28"/>
        <v>0</v>
      </c>
    </row>
    <row r="174" spans="1:30" s="112" customFormat="1" ht="12">
      <c r="A174" s="58"/>
      <c r="B174" s="58" t="s">
        <v>545</v>
      </c>
      <c r="C174" s="78" t="s">
        <v>603</v>
      </c>
      <c r="D174" s="229"/>
      <c r="E174" s="236"/>
      <c r="AC174" s="282"/>
      <c r="AD174" s="360">
        <f t="shared" si="28"/>
        <v>0</v>
      </c>
    </row>
    <row r="175" spans="1:30" s="112" customFormat="1" ht="12">
      <c r="A175" s="58"/>
      <c r="B175" s="58"/>
      <c r="C175" s="78" t="s">
        <v>559</v>
      </c>
      <c r="D175" s="229">
        <f>'Mode Operating Assumptions'!$D$186</f>
        <v>8.6836127924972328E-9</v>
      </c>
      <c r="E175" s="236"/>
      <c r="F175" s="55">
        <f>$D175*F$23</f>
        <v>0</v>
      </c>
      <c r="G175" s="55">
        <f t="shared" ref="G175:AC175" si="53">$D175*G$23</f>
        <v>0</v>
      </c>
      <c r="H175" s="55">
        <f t="shared" si="53"/>
        <v>-3.9259171119910039E-4</v>
      </c>
      <c r="I175" s="55">
        <f t="shared" si="53"/>
        <v>-3.9622698574467416E-4</v>
      </c>
      <c r="J175" s="55">
        <f t="shared" si="53"/>
        <v>-3.9986226029024797E-4</v>
      </c>
      <c r="K175" s="55">
        <f t="shared" si="53"/>
        <v>-4.0349753483582185E-4</v>
      </c>
      <c r="L175" s="55">
        <f t="shared" si="53"/>
        <v>-4.0713280938139577E-4</v>
      </c>
      <c r="M175" s="55">
        <f t="shared" si="53"/>
        <v>-4.1076808392696964E-4</v>
      </c>
      <c r="N175" s="55">
        <f t="shared" si="53"/>
        <v>-4.1440335847254346E-4</v>
      </c>
      <c r="O175" s="55">
        <f t="shared" si="53"/>
        <v>-4.1333417447812987E-4</v>
      </c>
      <c r="P175" s="55">
        <f t="shared" si="53"/>
        <v>-4.1226499048371623E-4</v>
      </c>
      <c r="Q175" s="55">
        <f t="shared" si="53"/>
        <v>-4.1119580648930269E-4</v>
      </c>
      <c r="R175" s="55">
        <f t="shared" si="53"/>
        <v>-4.101266224948891E-4</v>
      </c>
      <c r="S175" s="55">
        <f t="shared" si="53"/>
        <v>-4.0905743850047529E-4</v>
      </c>
      <c r="T175" s="55">
        <f t="shared" si="53"/>
        <v>-4.0798825450606181E-4</v>
      </c>
      <c r="U175" s="55">
        <f t="shared" si="53"/>
        <v>-4.0691907051164822E-4</v>
      </c>
      <c r="V175" s="55">
        <f t="shared" si="53"/>
        <v>-4.0584988651723452E-4</v>
      </c>
      <c r="W175" s="55">
        <f t="shared" si="53"/>
        <v>-4.0478070252282099E-4</v>
      </c>
      <c r="X175" s="55">
        <f t="shared" si="53"/>
        <v>-4.0371151852840718E-4</v>
      </c>
      <c r="Y175" s="55">
        <f t="shared" si="53"/>
        <v>-4.0264233453399375E-4</v>
      </c>
      <c r="Z175" s="55">
        <f t="shared" si="53"/>
        <v>-4.0157315053958016E-4</v>
      </c>
      <c r="AA175" s="55">
        <f t="shared" si="53"/>
        <v>-4.0050396654516646E-4</v>
      </c>
      <c r="AB175" s="55">
        <f t="shared" si="53"/>
        <v>-3.9943478255075298E-4</v>
      </c>
      <c r="AC175" s="290">
        <f t="shared" si="53"/>
        <v>-3.9836559855633923E-4</v>
      </c>
      <c r="AD175" s="376">
        <f t="shared" si="28"/>
        <v>-8.9122310416092712E-3</v>
      </c>
    </row>
    <row r="176" spans="1:30" s="112" customFormat="1" ht="12">
      <c r="A176" s="58"/>
      <c r="B176" s="58"/>
      <c r="C176" s="49" t="s">
        <v>40</v>
      </c>
      <c r="D176" s="328">
        <f>D164</f>
        <v>-6200000</v>
      </c>
      <c r="E176" s="236"/>
      <c r="F176" s="275">
        <f>F175*$D$176</f>
        <v>0</v>
      </c>
      <c r="G176" s="275">
        <f t="shared" ref="G176:AC176" si="54">G175*$D$176</f>
        <v>0</v>
      </c>
      <c r="H176" s="275">
        <f t="shared" si="54"/>
        <v>2434.0686094344223</v>
      </c>
      <c r="I176" s="275">
        <f t="shared" si="54"/>
        <v>2456.6073116169796</v>
      </c>
      <c r="J176" s="275">
        <f t="shared" si="54"/>
        <v>2479.1460137995373</v>
      </c>
      <c r="K176" s="275">
        <f t="shared" si="54"/>
        <v>2501.6847159820954</v>
      </c>
      <c r="L176" s="275">
        <f t="shared" si="54"/>
        <v>2524.2234181646536</v>
      </c>
      <c r="M176" s="275">
        <f t="shared" si="54"/>
        <v>2546.7621203472117</v>
      </c>
      <c r="N176" s="275">
        <f t="shared" si="54"/>
        <v>2569.3008225297694</v>
      </c>
      <c r="O176" s="275">
        <f t="shared" si="54"/>
        <v>2562.671881764405</v>
      </c>
      <c r="P176" s="275">
        <f t="shared" si="54"/>
        <v>2556.0429409990406</v>
      </c>
      <c r="Q176" s="275">
        <f t="shared" si="54"/>
        <v>2549.4140002336767</v>
      </c>
      <c r="R176" s="275">
        <f t="shared" si="54"/>
        <v>2542.7850594683123</v>
      </c>
      <c r="S176" s="275">
        <f t="shared" si="54"/>
        <v>2536.156118702947</v>
      </c>
      <c r="T176" s="275">
        <f t="shared" si="54"/>
        <v>2529.527177937583</v>
      </c>
      <c r="U176" s="275">
        <f t="shared" si="54"/>
        <v>2522.8982371722191</v>
      </c>
      <c r="V176" s="275">
        <f t="shared" si="54"/>
        <v>2516.2692964068542</v>
      </c>
      <c r="W176" s="275">
        <f t="shared" si="54"/>
        <v>2509.6403556414903</v>
      </c>
      <c r="X176" s="275">
        <f t="shared" si="54"/>
        <v>2503.0114148761245</v>
      </c>
      <c r="Y176" s="275">
        <f t="shared" si="54"/>
        <v>2496.3824741107614</v>
      </c>
      <c r="Z176" s="275">
        <f t="shared" si="54"/>
        <v>2489.753533345397</v>
      </c>
      <c r="AA176" s="275">
        <f t="shared" si="54"/>
        <v>2483.1245925800322</v>
      </c>
      <c r="AB176" s="275">
        <f t="shared" si="54"/>
        <v>2476.4956518146687</v>
      </c>
      <c r="AC176" s="288">
        <f t="shared" si="54"/>
        <v>2469.8667110493034</v>
      </c>
      <c r="AD176" s="369">
        <f t="shared" ref="AD176:AD191" si="55">SUM(F176:AC176)</f>
        <v>55255.832457977485</v>
      </c>
    </row>
    <row r="177" spans="1:50" s="112" customFormat="1" ht="12">
      <c r="A177" s="58"/>
      <c r="B177" s="58"/>
      <c r="C177" s="78" t="s">
        <v>560</v>
      </c>
      <c r="D177" s="229">
        <f>'Mode Operating Assumptions'!$D$187</f>
        <v>8.1339537419145546E-7</v>
      </c>
      <c r="E177" s="236"/>
      <c r="F177" s="55">
        <f>$D177*F$23</f>
        <v>0</v>
      </c>
      <c r="G177" s="55">
        <f t="shared" ref="G177:AC177" si="56">$D177*G$23</f>
        <v>0</v>
      </c>
      <c r="H177" s="55">
        <f t="shared" si="56"/>
        <v>-3.6774127251639296E-2</v>
      </c>
      <c r="I177" s="55">
        <f t="shared" si="56"/>
        <v>-3.7114643989308721E-2</v>
      </c>
      <c r="J177" s="55">
        <f t="shared" si="56"/>
        <v>-3.7455160726978146E-2</v>
      </c>
      <c r="K177" s="55">
        <f t="shared" si="56"/>
        <v>-3.7795677464647584E-2</v>
      </c>
      <c r="L177" s="55">
        <f t="shared" si="56"/>
        <v>-3.8136194202317023E-2</v>
      </c>
      <c r="M177" s="55">
        <f t="shared" si="56"/>
        <v>-3.8476710939986461E-2</v>
      </c>
      <c r="N177" s="55">
        <f t="shared" si="56"/>
        <v>-3.8817227677655892E-2</v>
      </c>
      <c r="O177" s="55">
        <f t="shared" si="56"/>
        <v>-3.8717077044964507E-2</v>
      </c>
      <c r="P177" s="55">
        <f t="shared" si="56"/>
        <v>-3.8616926412273121E-2</v>
      </c>
      <c r="Q177" s="55">
        <f t="shared" si="56"/>
        <v>-3.8516775779581749E-2</v>
      </c>
      <c r="R177" s="55">
        <f t="shared" si="56"/>
        <v>-3.8416625146890371E-2</v>
      </c>
      <c r="S177" s="55">
        <f t="shared" si="56"/>
        <v>-3.8316474514198971E-2</v>
      </c>
      <c r="T177" s="55">
        <f t="shared" si="56"/>
        <v>-3.8216323881507606E-2</v>
      </c>
      <c r="U177" s="55">
        <f t="shared" si="56"/>
        <v>-3.8116173248816221E-2</v>
      </c>
      <c r="V177" s="55">
        <f t="shared" si="56"/>
        <v>-3.8016022616124828E-2</v>
      </c>
      <c r="W177" s="55">
        <f t="shared" si="56"/>
        <v>-3.7915871983433456E-2</v>
      </c>
      <c r="X177" s="55">
        <f t="shared" si="56"/>
        <v>-3.7815721350742057E-2</v>
      </c>
      <c r="Y177" s="55">
        <f t="shared" si="56"/>
        <v>-3.7715570718050692E-2</v>
      </c>
      <c r="Z177" s="55">
        <f t="shared" si="56"/>
        <v>-3.7615420085359313E-2</v>
      </c>
      <c r="AA177" s="55">
        <f t="shared" si="56"/>
        <v>-3.7515269452667928E-2</v>
      </c>
      <c r="AB177" s="55">
        <f t="shared" si="56"/>
        <v>-3.7415118819976549E-2</v>
      </c>
      <c r="AC177" s="290">
        <f t="shared" si="56"/>
        <v>-3.7314968187285157E-2</v>
      </c>
      <c r="AD177" s="376">
        <f t="shared" si="55"/>
        <v>-0.8348100814944055</v>
      </c>
    </row>
    <row r="178" spans="1:50" s="112" customFormat="1" ht="12">
      <c r="A178" s="58"/>
      <c r="B178" s="58"/>
      <c r="C178" s="49" t="s">
        <v>41</v>
      </c>
      <c r="D178" s="328">
        <f>D166</f>
        <v>-291400</v>
      </c>
      <c r="E178" s="236"/>
      <c r="F178" s="275">
        <f>F177*$D$178</f>
        <v>0</v>
      </c>
      <c r="G178" s="275">
        <f t="shared" ref="G178:AC178" si="57">G177*$D$178</f>
        <v>0</v>
      </c>
      <c r="H178" s="275">
        <f t="shared" si="57"/>
        <v>10715.98068112769</v>
      </c>
      <c r="I178" s="275">
        <f t="shared" si="57"/>
        <v>10815.207258484561</v>
      </c>
      <c r="J178" s="275">
        <f t="shared" si="57"/>
        <v>10914.433835841432</v>
      </c>
      <c r="K178" s="275">
        <f t="shared" si="57"/>
        <v>11013.660413198306</v>
      </c>
      <c r="L178" s="275">
        <f t="shared" si="57"/>
        <v>11112.88699055518</v>
      </c>
      <c r="M178" s="275">
        <f t="shared" si="57"/>
        <v>11212.113567912054</v>
      </c>
      <c r="N178" s="275">
        <f t="shared" si="57"/>
        <v>11311.340145268927</v>
      </c>
      <c r="O178" s="275">
        <f t="shared" si="57"/>
        <v>11282.156250902657</v>
      </c>
      <c r="P178" s="275">
        <f t="shared" si="57"/>
        <v>11252.972356536387</v>
      </c>
      <c r="Q178" s="275">
        <f t="shared" si="57"/>
        <v>11223.788462170121</v>
      </c>
      <c r="R178" s="275">
        <f t="shared" si="57"/>
        <v>11194.604567803854</v>
      </c>
      <c r="S178" s="275">
        <f t="shared" si="57"/>
        <v>11165.42067343758</v>
      </c>
      <c r="T178" s="275">
        <f t="shared" si="57"/>
        <v>11136.236779071316</v>
      </c>
      <c r="U178" s="275">
        <f t="shared" si="57"/>
        <v>11107.052884705046</v>
      </c>
      <c r="V178" s="275">
        <f t="shared" si="57"/>
        <v>11077.868990338775</v>
      </c>
      <c r="W178" s="275">
        <f t="shared" si="57"/>
        <v>11048.685095972509</v>
      </c>
      <c r="X178" s="275">
        <f t="shared" si="57"/>
        <v>11019.501201606236</v>
      </c>
      <c r="Y178" s="275">
        <f t="shared" si="57"/>
        <v>10990.317307239971</v>
      </c>
      <c r="Z178" s="275">
        <f t="shared" si="57"/>
        <v>10961.133412873703</v>
      </c>
      <c r="AA178" s="275">
        <f t="shared" si="57"/>
        <v>10931.949518507434</v>
      </c>
      <c r="AB178" s="275">
        <f t="shared" si="57"/>
        <v>10902.765624141166</v>
      </c>
      <c r="AC178" s="288">
        <f t="shared" si="57"/>
        <v>10873.581729774894</v>
      </c>
      <c r="AD178" s="369">
        <f t="shared" si="55"/>
        <v>243263.65774746978</v>
      </c>
    </row>
    <row r="179" spans="1:50" s="112" customFormat="1" ht="12">
      <c r="A179" s="58"/>
      <c r="B179" s="58"/>
      <c r="C179" s="78" t="s">
        <v>572</v>
      </c>
      <c r="D179" s="229">
        <f>'Mode Operating Assumptions'!$D$185</f>
        <v>1.8640215942009768E-6</v>
      </c>
      <c r="E179" s="236"/>
      <c r="F179" s="55">
        <f>$D179*F$23</f>
        <v>0</v>
      </c>
      <c r="G179" s="55">
        <f t="shared" ref="G179:AC179" si="58">$D179*G$23</f>
        <v>0</v>
      </c>
      <c r="H179" s="55">
        <f t="shared" si="58"/>
        <v>-8.4273613398759786E-2</v>
      </c>
      <c r="I179" s="55">
        <f t="shared" si="58"/>
        <v>-8.5053960290741581E-2</v>
      </c>
      <c r="J179" s="55">
        <f t="shared" si="58"/>
        <v>-8.5834307182723391E-2</v>
      </c>
      <c r="K179" s="55">
        <f t="shared" si="58"/>
        <v>-8.6614654074705213E-2</v>
      </c>
      <c r="L179" s="55">
        <f t="shared" si="58"/>
        <v>-8.7395000966687064E-2</v>
      </c>
      <c r="M179" s="55">
        <f t="shared" si="58"/>
        <v>-8.8175347858668887E-2</v>
      </c>
      <c r="N179" s="55">
        <f t="shared" si="58"/>
        <v>-8.8955694750650696E-2</v>
      </c>
      <c r="O179" s="55">
        <f t="shared" si="58"/>
        <v>-8.8726184050279197E-2</v>
      </c>
      <c r="P179" s="55">
        <f t="shared" si="58"/>
        <v>-8.849667334990767E-2</v>
      </c>
      <c r="Q179" s="55">
        <f t="shared" si="58"/>
        <v>-8.8267162649536185E-2</v>
      </c>
      <c r="R179" s="55">
        <f t="shared" si="58"/>
        <v>-8.8037651949164686E-2</v>
      </c>
      <c r="S179" s="55">
        <f t="shared" si="58"/>
        <v>-8.7808141248793131E-2</v>
      </c>
      <c r="T179" s="55">
        <f t="shared" si="58"/>
        <v>-8.757863054842166E-2</v>
      </c>
      <c r="U179" s="55">
        <f t="shared" si="58"/>
        <v>-8.7349119848050147E-2</v>
      </c>
      <c r="V179" s="55">
        <f t="shared" si="58"/>
        <v>-8.711960914767862E-2</v>
      </c>
      <c r="W179" s="55">
        <f t="shared" si="58"/>
        <v>-8.6890098447307135E-2</v>
      </c>
      <c r="X179" s="55">
        <f t="shared" si="58"/>
        <v>-8.666058774693558E-2</v>
      </c>
      <c r="Y179" s="55">
        <f t="shared" si="58"/>
        <v>-8.6431077046564109E-2</v>
      </c>
      <c r="Z179" s="55">
        <f t="shared" si="58"/>
        <v>-8.620156634619261E-2</v>
      </c>
      <c r="AA179" s="55">
        <f t="shared" si="58"/>
        <v>-8.5972055645821083E-2</v>
      </c>
      <c r="AB179" s="55">
        <f t="shared" si="58"/>
        <v>-8.5742544945449597E-2</v>
      </c>
      <c r="AC179" s="290">
        <f t="shared" si="58"/>
        <v>-8.5513034245078057E-2</v>
      </c>
      <c r="AD179" s="376">
        <f t="shared" si="55"/>
        <v>-1.9130967157381158</v>
      </c>
    </row>
    <row r="180" spans="1:50" s="112" customFormat="1" ht="12">
      <c r="A180" s="58"/>
      <c r="B180" s="58"/>
      <c r="C180" s="49" t="s">
        <v>547</v>
      </c>
      <c r="D180" s="328">
        <f>-'Mode Operating Assumptions'!C174</f>
        <v>-3285</v>
      </c>
      <c r="E180" s="236"/>
      <c r="F180" s="275">
        <f>F179*$D$180</f>
        <v>0</v>
      </c>
      <c r="G180" s="275">
        <f t="shared" ref="G180:AC180" si="59">G179*$D$180</f>
        <v>0</v>
      </c>
      <c r="H180" s="275">
        <f t="shared" si="59"/>
        <v>276.83882001492589</v>
      </c>
      <c r="I180" s="275">
        <f t="shared" si="59"/>
        <v>279.40225955508612</v>
      </c>
      <c r="J180" s="275">
        <f t="shared" si="59"/>
        <v>281.96569909524635</v>
      </c>
      <c r="K180" s="275">
        <f t="shared" si="59"/>
        <v>284.52913863540664</v>
      </c>
      <c r="L180" s="275">
        <f t="shared" si="59"/>
        <v>287.09257817556698</v>
      </c>
      <c r="M180" s="275">
        <f t="shared" si="59"/>
        <v>289.65601771572727</v>
      </c>
      <c r="N180" s="275">
        <f t="shared" si="59"/>
        <v>292.21945725588756</v>
      </c>
      <c r="O180" s="275">
        <f t="shared" si="59"/>
        <v>291.46551460516719</v>
      </c>
      <c r="P180" s="275">
        <f t="shared" si="59"/>
        <v>290.7115719544467</v>
      </c>
      <c r="Q180" s="275">
        <f t="shared" si="59"/>
        <v>289.95762930372638</v>
      </c>
      <c r="R180" s="275">
        <f t="shared" si="59"/>
        <v>289.203686653006</v>
      </c>
      <c r="S180" s="275">
        <f t="shared" si="59"/>
        <v>288.44974400228546</v>
      </c>
      <c r="T180" s="275">
        <f t="shared" si="59"/>
        <v>287.69580135156514</v>
      </c>
      <c r="U180" s="275">
        <f t="shared" si="59"/>
        <v>286.9418587008447</v>
      </c>
      <c r="V180" s="275">
        <f t="shared" si="59"/>
        <v>286.18791605012427</v>
      </c>
      <c r="W180" s="275">
        <f t="shared" si="59"/>
        <v>285.43397339940395</v>
      </c>
      <c r="X180" s="275">
        <f t="shared" si="59"/>
        <v>284.68003074868341</v>
      </c>
      <c r="Y180" s="275">
        <f t="shared" si="59"/>
        <v>283.92608809796309</v>
      </c>
      <c r="Z180" s="275">
        <f t="shared" si="59"/>
        <v>283.17214544724271</v>
      </c>
      <c r="AA180" s="275">
        <f t="shared" si="59"/>
        <v>282.41820279652228</v>
      </c>
      <c r="AB180" s="275">
        <f t="shared" si="59"/>
        <v>281.6642601458019</v>
      </c>
      <c r="AC180" s="288">
        <f t="shared" si="59"/>
        <v>280.91031749508142</v>
      </c>
      <c r="AD180" s="369">
        <f t="shared" si="55"/>
        <v>6284.522711199711</v>
      </c>
    </row>
    <row r="181" spans="1:50" s="112" customFormat="1" ht="12">
      <c r="A181" s="58"/>
      <c r="B181" s="58"/>
      <c r="D181" s="328"/>
      <c r="E181" s="236"/>
      <c r="F181" s="275"/>
      <c r="G181" s="275"/>
      <c r="H181" s="275"/>
      <c r="I181" s="275"/>
      <c r="J181" s="275"/>
      <c r="K181" s="275"/>
      <c r="L181" s="275"/>
      <c r="M181" s="275"/>
      <c r="N181" s="275"/>
      <c r="O181" s="275"/>
      <c r="P181" s="275"/>
      <c r="Q181" s="275"/>
      <c r="R181" s="275"/>
      <c r="S181" s="275"/>
      <c r="T181" s="275"/>
      <c r="U181" s="275"/>
      <c r="V181" s="275"/>
      <c r="W181" s="275"/>
      <c r="X181" s="275"/>
      <c r="Y181" s="275"/>
      <c r="Z181" s="275"/>
      <c r="AA181" s="275"/>
      <c r="AB181" s="275"/>
      <c r="AC181" s="288"/>
      <c r="AD181" s="369">
        <f t="shared" si="55"/>
        <v>0</v>
      </c>
    </row>
    <row r="182" spans="1:50" s="5" customFormat="1" ht="12">
      <c r="A182" s="58"/>
      <c r="B182" s="58"/>
      <c r="C182" s="315" t="s">
        <v>537</v>
      </c>
      <c r="D182" s="231"/>
      <c r="E182" s="239"/>
      <c r="F182" s="83">
        <f>F170+F172+F151+F153+F164+F157+F159+F166+F176+F178+F180</f>
        <v>0</v>
      </c>
      <c r="G182" s="83">
        <f t="shared" ref="G182:AC182" si="60">G170+G172+G151+G153+G164+G157+G159+G166+G176+G178+G180</f>
        <v>0</v>
      </c>
      <c r="H182" s="83">
        <f t="shared" si="60"/>
        <v>59636.275897358842</v>
      </c>
      <c r="I182" s="83">
        <f t="shared" si="60"/>
        <v>60188.48886971204</v>
      </c>
      <c r="J182" s="83">
        <f t="shared" si="60"/>
        <v>60740.701842065253</v>
      </c>
      <c r="K182" s="83">
        <f t="shared" si="60"/>
        <v>61292.914814418451</v>
      </c>
      <c r="L182" s="83">
        <f t="shared" si="60"/>
        <v>61845.127786771671</v>
      </c>
      <c r="M182" s="83">
        <f t="shared" si="60"/>
        <v>62397.340759124883</v>
      </c>
      <c r="N182" s="83">
        <f t="shared" si="60"/>
        <v>62949.553731478103</v>
      </c>
      <c r="O182" s="83">
        <f t="shared" si="60"/>
        <v>62787.140338996782</v>
      </c>
      <c r="P182" s="83">
        <f t="shared" si="60"/>
        <v>62624.726946515468</v>
      </c>
      <c r="Q182" s="83">
        <f t="shared" si="60"/>
        <v>62462.313554034154</v>
      </c>
      <c r="R182" s="83">
        <f t="shared" si="60"/>
        <v>62299.900161552847</v>
      </c>
      <c r="S182" s="83">
        <f t="shared" si="60"/>
        <v>62137.486769071518</v>
      </c>
      <c r="T182" s="83">
        <f t="shared" si="60"/>
        <v>61975.073376590226</v>
      </c>
      <c r="U182" s="83">
        <f t="shared" si="60"/>
        <v>61812.659984108897</v>
      </c>
      <c r="V182" s="83">
        <f t="shared" si="60"/>
        <v>61650.246591627583</v>
      </c>
      <c r="W182" s="83">
        <f t="shared" si="60"/>
        <v>61487.833199146269</v>
      </c>
      <c r="X182" s="83">
        <f t="shared" si="60"/>
        <v>61325.419806664941</v>
      </c>
      <c r="Y182" s="83">
        <f t="shared" si="60"/>
        <v>61163.006414183641</v>
      </c>
      <c r="Z182" s="83">
        <f t="shared" si="60"/>
        <v>61000.593021702327</v>
      </c>
      <c r="AA182" s="83">
        <f t="shared" si="60"/>
        <v>60838.179629221006</v>
      </c>
      <c r="AB182" s="83">
        <f t="shared" si="60"/>
        <v>60675.766236739713</v>
      </c>
      <c r="AC182" s="83">
        <f t="shared" si="60"/>
        <v>60513.35284425837</v>
      </c>
      <c r="AD182" s="378">
        <f t="shared" si="55"/>
        <v>1353804.1025753431</v>
      </c>
    </row>
    <row r="183" spans="1:50" s="112" customFormat="1" ht="12">
      <c r="A183" s="109"/>
      <c r="B183" s="58"/>
      <c r="C183" s="110"/>
      <c r="D183" s="227"/>
      <c r="E183" s="235"/>
      <c r="F183" s="111"/>
      <c r="G183" s="111"/>
      <c r="H183" s="111"/>
      <c r="I183" s="111"/>
      <c r="J183" s="111"/>
      <c r="K183" s="111"/>
      <c r="L183" s="111"/>
      <c r="M183" s="111"/>
      <c r="N183" s="111"/>
      <c r="O183" s="111"/>
      <c r="P183" s="111"/>
      <c r="Q183" s="111"/>
      <c r="R183" s="111"/>
      <c r="S183" s="111"/>
      <c r="T183" s="111"/>
      <c r="U183" s="111"/>
      <c r="V183" s="111"/>
      <c r="W183" s="111"/>
      <c r="X183" s="111"/>
      <c r="Y183" s="111"/>
      <c r="Z183" s="111"/>
      <c r="AC183" s="282"/>
      <c r="AD183" s="360">
        <f t="shared" si="55"/>
        <v>0</v>
      </c>
    </row>
    <row r="184" spans="1:50" s="94" customFormat="1" ht="12">
      <c r="A184" s="94" t="s">
        <v>363</v>
      </c>
      <c r="B184" s="58"/>
      <c r="D184" s="230"/>
      <c r="E184" s="241"/>
      <c r="H184" s="93"/>
      <c r="I184" s="93"/>
      <c r="J184" s="93"/>
      <c r="K184" s="93"/>
      <c r="L184" s="93"/>
      <c r="M184" s="93"/>
      <c r="N184" s="93"/>
      <c r="O184" s="93"/>
      <c r="P184" s="93"/>
      <c r="Q184" s="93"/>
      <c r="R184" s="93"/>
      <c r="S184" s="93"/>
      <c r="T184" s="93"/>
      <c r="U184" s="93"/>
      <c r="V184" s="93"/>
      <c r="W184" s="93"/>
      <c r="X184" s="93"/>
      <c r="Y184" s="93"/>
      <c r="AC184" s="293"/>
      <c r="AD184" s="384">
        <f t="shared" si="55"/>
        <v>0</v>
      </c>
    </row>
    <row r="185" spans="1:50" s="94" customFormat="1" ht="12">
      <c r="B185" s="58"/>
      <c r="D185" s="230"/>
      <c r="E185" s="241"/>
      <c r="H185" s="108"/>
      <c r="I185" s="108"/>
      <c r="J185" s="108"/>
      <c r="K185" s="108"/>
      <c r="L185" s="108"/>
      <c r="M185" s="108"/>
      <c r="N185" s="108"/>
      <c r="O185" s="108"/>
      <c r="P185" s="108"/>
      <c r="Q185" s="108"/>
      <c r="R185" s="108"/>
      <c r="S185" s="108"/>
      <c r="T185" s="108"/>
      <c r="U185" s="108"/>
      <c r="V185" s="108"/>
      <c r="W185" s="108"/>
      <c r="X185" s="108"/>
      <c r="Y185" s="108"/>
      <c r="AC185" s="293"/>
      <c r="AD185" s="384">
        <f t="shared" si="55"/>
        <v>0</v>
      </c>
    </row>
    <row r="186" spans="1:50" s="112" customFormat="1" ht="12">
      <c r="A186" s="92"/>
      <c r="B186" s="58"/>
      <c r="C186" s="311" t="s">
        <v>519</v>
      </c>
      <c r="D186" s="230"/>
      <c r="E186" s="310">
        <f>SUM(F186:AC186)</f>
        <v>3338849.6754278969</v>
      </c>
      <c r="F186" s="275">
        <f t="shared" ref="F186:AC186" si="61">F5+F6+F45+F57+F64+F71+F84+F91+F108+F121+F182+F124+F139+F144</f>
        <v>0</v>
      </c>
      <c r="G186" s="275">
        <f t="shared" si="61"/>
        <v>-251580.98466782394</v>
      </c>
      <c r="H186" s="275">
        <f t="shared" si="61"/>
        <v>-547487.14835680521</v>
      </c>
      <c r="I186" s="275">
        <f t="shared" si="61"/>
        <v>144273.19333647567</v>
      </c>
      <c r="J186" s="275">
        <f t="shared" si="61"/>
        <v>197560.58885201969</v>
      </c>
      <c r="K186" s="275">
        <f t="shared" si="61"/>
        <v>199013.70583515379</v>
      </c>
      <c r="L186" s="275">
        <f t="shared" si="61"/>
        <v>200425.7947710111</v>
      </c>
      <c r="M186" s="275">
        <f t="shared" si="61"/>
        <v>201838.3586013882</v>
      </c>
      <c r="N186" s="275">
        <f t="shared" si="61"/>
        <v>203251.20849765951</v>
      </c>
      <c r="O186" s="275">
        <f t="shared" si="61"/>
        <v>202497.5549361039</v>
      </c>
      <c r="P186" s="275">
        <f t="shared" si="61"/>
        <v>202050.70271262768</v>
      </c>
      <c r="Q186" s="275">
        <f t="shared" si="61"/>
        <v>201604.5172793525</v>
      </c>
      <c r="R186" s="275">
        <f t="shared" si="61"/>
        <v>201159.0014518773</v>
      </c>
      <c r="S186" s="275">
        <f t="shared" si="61"/>
        <v>200714.15808661978</v>
      </c>
      <c r="T186" s="275">
        <f t="shared" si="61"/>
        <v>200269.99008156252</v>
      </c>
      <c r="U186" s="275">
        <f t="shared" si="61"/>
        <v>199826.50037701454</v>
      </c>
      <c r="V186" s="275">
        <f t="shared" si="61"/>
        <v>199383.69195639106</v>
      </c>
      <c r="W186" s="275">
        <f t="shared" si="61"/>
        <v>198941.56784700943</v>
      </c>
      <c r="X186" s="275">
        <f t="shared" si="61"/>
        <v>198500.1311209035</v>
      </c>
      <c r="Y186" s="275">
        <f t="shared" si="61"/>
        <v>198059.38489565652</v>
      </c>
      <c r="Z186" s="275">
        <f t="shared" si="61"/>
        <v>197690.0531502378</v>
      </c>
      <c r="AA186" s="275">
        <f t="shared" si="61"/>
        <v>197321.07317210257</v>
      </c>
      <c r="AB186" s="275">
        <f t="shared" si="61"/>
        <v>196952.44855303745</v>
      </c>
      <c r="AC186" s="275">
        <f t="shared" si="61"/>
        <v>196584.18293832135</v>
      </c>
      <c r="AD186" s="369">
        <f>SUM(F186:AC186)</f>
        <v>3338849.6754278969</v>
      </c>
      <c r="AE186" s="112">
        <v>2036</v>
      </c>
      <c r="AF186" s="112">
        <f>AE186+1</f>
        <v>2037</v>
      </c>
      <c r="AG186" s="112">
        <f t="shared" ref="AG186:AX186" si="62">AF186+1</f>
        <v>2038</v>
      </c>
      <c r="AH186" s="112">
        <f t="shared" si="62"/>
        <v>2039</v>
      </c>
      <c r="AI186" s="112">
        <f t="shared" si="62"/>
        <v>2040</v>
      </c>
      <c r="AJ186" s="112">
        <f t="shared" si="62"/>
        <v>2041</v>
      </c>
      <c r="AK186" s="112">
        <f t="shared" si="62"/>
        <v>2042</v>
      </c>
      <c r="AL186" s="112">
        <f t="shared" si="62"/>
        <v>2043</v>
      </c>
      <c r="AM186" s="112">
        <f t="shared" si="62"/>
        <v>2044</v>
      </c>
      <c r="AN186" s="112">
        <f t="shared" si="62"/>
        <v>2045</v>
      </c>
      <c r="AO186" s="112">
        <f t="shared" si="62"/>
        <v>2046</v>
      </c>
      <c r="AP186" s="112">
        <f t="shared" si="62"/>
        <v>2047</v>
      </c>
      <c r="AQ186" s="112">
        <f t="shared" si="62"/>
        <v>2048</v>
      </c>
      <c r="AR186" s="112">
        <f t="shared" si="62"/>
        <v>2049</v>
      </c>
      <c r="AS186" s="112">
        <f t="shared" si="62"/>
        <v>2050</v>
      </c>
      <c r="AT186" s="112">
        <f t="shared" si="62"/>
        <v>2051</v>
      </c>
      <c r="AU186" s="112">
        <f t="shared" si="62"/>
        <v>2052</v>
      </c>
      <c r="AV186" s="112">
        <f t="shared" si="62"/>
        <v>2053</v>
      </c>
      <c r="AW186" s="112">
        <f t="shared" si="62"/>
        <v>2054</v>
      </c>
      <c r="AX186" s="112">
        <f t="shared" si="62"/>
        <v>2055</v>
      </c>
    </row>
    <row r="187" spans="1:50" s="94" customFormat="1" ht="12">
      <c r="A187" s="92"/>
      <c r="B187" s="58"/>
      <c r="C187" s="70" t="s">
        <v>182</v>
      </c>
      <c r="D187" s="230"/>
      <c r="E187" s="237"/>
      <c r="F187" s="108">
        <f>1/1.03</f>
        <v>0.970873786407767</v>
      </c>
      <c r="G187" s="108">
        <f>F187/1.03</f>
        <v>0.94259590913375435</v>
      </c>
      <c r="H187" s="108">
        <f t="shared" ref="H187:AC187" si="63">G187/1.03</f>
        <v>0.9151416593531595</v>
      </c>
      <c r="I187" s="108">
        <f t="shared" si="63"/>
        <v>0.88848704791568878</v>
      </c>
      <c r="J187" s="108">
        <f t="shared" si="63"/>
        <v>0.86260878438416388</v>
      </c>
      <c r="K187" s="108">
        <f t="shared" si="63"/>
        <v>0.83748425668365423</v>
      </c>
      <c r="L187" s="108">
        <f t="shared" si="63"/>
        <v>0.81309151134335356</v>
      </c>
      <c r="M187" s="108">
        <f t="shared" si="63"/>
        <v>0.7894092343139355</v>
      </c>
      <c r="N187" s="108">
        <f t="shared" si="63"/>
        <v>0.76641673234362673</v>
      </c>
      <c r="O187" s="108">
        <f t="shared" si="63"/>
        <v>0.74409391489672494</v>
      </c>
      <c r="P187" s="108">
        <f t="shared" si="63"/>
        <v>0.7224212765987621</v>
      </c>
      <c r="Q187" s="108">
        <f t="shared" si="63"/>
        <v>0.70137988019297293</v>
      </c>
      <c r="R187" s="108">
        <f t="shared" si="63"/>
        <v>0.68095133999317758</v>
      </c>
      <c r="S187" s="108">
        <f t="shared" si="63"/>
        <v>0.66111780581861901</v>
      </c>
      <c r="T187" s="108">
        <f t="shared" si="63"/>
        <v>0.64186194739671742</v>
      </c>
      <c r="U187" s="108">
        <f t="shared" si="63"/>
        <v>0.62316693922011401</v>
      </c>
      <c r="V187" s="108">
        <f t="shared" si="63"/>
        <v>0.60501644584477088</v>
      </c>
      <c r="W187" s="108">
        <f t="shared" si="63"/>
        <v>0.58739460761628237</v>
      </c>
      <c r="X187" s="108">
        <f t="shared" si="63"/>
        <v>0.57028602681192464</v>
      </c>
      <c r="Y187" s="108">
        <f t="shared" si="63"/>
        <v>0.55367575418633463</v>
      </c>
      <c r="Z187" s="108">
        <f t="shared" si="63"/>
        <v>0.53754927590906276</v>
      </c>
      <c r="AA187" s="108">
        <f t="shared" si="63"/>
        <v>0.52189250088258521</v>
      </c>
      <c r="AB187" s="108">
        <f t="shared" si="63"/>
        <v>0.50669174842969433</v>
      </c>
      <c r="AC187" s="294">
        <f t="shared" si="63"/>
        <v>0.49193373633950904</v>
      </c>
      <c r="AD187" s="385"/>
      <c r="AE187" s="94">
        <f>AC187/1.03</f>
        <v>0.47760556926165926</v>
      </c>
      <c r="AF187" s="94">
        <f>AE187/1.03</f>
        <v>0.4636947274385041</v>
      </c>
      <c r="AG187" s="94">
        <f t="shared" ref="AG187:AX187" si="64">AF187/1.03</f>
        <v>0.45018905576553797</v>
      </c>
      <c r="AH187" s="94">
        <f t="shared" si="64"/>
        <v>0.43707675317042521</v>
      </c>
      <c r="AI187" s="94">
        <f t="shared" si="64"/>
        <v>0.42434636230138367</v>
      </c>
      <c r="AJ187" s="94">
        <f t="shared" si="64"/>
        <v>0.41198675951590646</v>
      </c>
      <c r="AK187" s="94">
        <f t="shared" si="64"/>
        <v>0.39998714516107425</v>
      </c>
      <c r="AL187" s="94">
        <f t="shared" si="64"/>
        <v>0.3883370341369653</v>
      </c>
      <c r="AM187" s="94">
        <f t="shared" si="64"/>
        <v>0.37702624673491775</v>
      </c>
      <c r="AN187" s="94">
        <f t="shared" si="64"/>
        <v>0.3660448997426386</v>
      </c>
      <c r="AO187" s="94">
        <f t="shared" si="64"/>
        <v>0.35538339780838696</v>
      </c>
      <c r="AP187" s="94">
        <f t="shared" si="64"/>
        <v>0.34503242505668635</v>
      </c>
      <c r="AQ187" s="94">
        <f t="shared" si="64"/>
        <v>0.33498293694823916</v>
      </c>
      <c r="AR187" s="94">
        <f t="shared" si="64"/>
        <v>0.3252261523769312</v>
      </c>
      <c r="AS187" s="94">
        <f t="shared" si="64"/>
        <v>0.31575354599702055</v>
      </c>
      <c r="AT187" s="94">
        <f t="shared" si="64"/>
        <v>0.30655684077380635</v>
      </c>
      <c r="AU187" s="94">
        <f t="shared" si="64"/>
        <v>0.29762800075126827</v>
      </c>
      <c r="AV187" s="94">
        <f t="shared" si="64"/>
        <v>0.28895922403035756</v>
      </c>
      <c r="AW187" s="94">
        <f t="shared" si="64"/>
        <v>0.28054293595180346</v>
      </c>
      <c r="AX187" s="94">
        <f t="shared" si="64"/>
        <v>0.27237178247747906</v>
      </c>
    </row>
    <row r="188" spans="1:50" s="112" customFormat="1" ht="12">
      <c r="A188" s="109"/>
      <c r="B188" s="58"/>
      <c r="C188" s="110" t="s">
        <v>180</v>
      </c>
      <c r="D188" s="227"/>
      <c r="E188" s="235">
        <f>SUM(F188:AC188)</f>
        <v>2032068.0873912827</v>
      </c>
      <c r="F188" s="111">
        <f>F186*F187</f>
        <v>0</v>
      </c>
      <c r="G188" s="111">
        <f t="shared" ref="G188:AC188" si="65">G186*G187</f>
        <v>-237139.20696373263</v>
      </c>
      <c r="H188" s="111">
        <f t="shared" si="65"/>
        <v>-501028.29742177611</v>
      </c>
      <c r="I188" s="111">
        <f t="shared" si="65"/>
        <v>128184.86364089469</v>
      </c>
      <c r="J188" s="111">
        <f t="shared" si="65"/>
        <v>170417.4993918603</v>
      </c>
      <c r="K188" s="111">
        <f t="shared" si="65"/>
        <v>166670.84550121319</v>
      </c>
      <c r="L188" s="111">
        <f t="shared" si="65"/>
        <v>162964.51238255424</v>
      </c>
      <c r="M188" s="111">
        <f t="shared" si="65"/>
        <v>159333.06411870339</v>
      </c>
      <c r="N188" s="111">
        <f t="shared" si="65"/>
        <v>155775.12706166937</v>
      </c>
      <c r="O188" s="111">
        <f t="shared" si="65"/>
        <v>150677.19840942018</v>
      </c>
      <c r="P188" s="111">
        <f t="shared" si="65"/>
        <v>145965.72659133346</v>
      </c>
      <c r="Q188" s="111">
        <f t="shared" si="65"/>
        <v>141401.35217575441</v>
      </c>
      <c r="R188" s="111">
        <f t="shared" si="65"/>
        <v>136979.49159034539</v>
      </c>
      <c r="S188" s="111">
        <f t="shared" si="65"/>
        <v>132695.70379095749</v>
      </c>
      <c r="T188" s="111">
        <f t="shared" si="65"/>
        <v>128545.685838873</v>
      </c>
      <c r="U188" s="111">
        <f t="shared" si="65"/>
        <v>124525.26861501111</v>
      </c>
      <c r="V188" s="111">
        <f t="shared" si="65"/>
        <v>120630.41266686436</v>
      </c>
      <c r="W188" s="111">
        <f t="shared" si="65"/>
        <v>116857.20418406212</v>
      </c>
      <c r="X188" s="111">
        <f t="shared" si="65"/>
        <v>113201.85109858614</v>
      </c>
      <c r="Y188" s="111">
        <f t="shared" si="65"/>
        <v>109660.67930578416</v>
      </c>
      <c r="Z188" s="111">
        <f t="shared" si="65"/>
        <v>106268.14492533446</v>
      </c>
      <c r="AA188" s="111">
        <f t="shared" si="65"/>
        <v>102980.3883546242</v>
      </c>
      <c r="AB188" s="111">
        <f t="shared" si="65"/>
        <v>99794.180514847962</v>
      </c>
      <c r="AC188" s="416">
        <f t="shared" si="65"/>
        <v>96706.391618097987</v>
      </c>
      <c r="AD188" s="386">
        <f t="shared" si="55"/>
        <v>2032068.0873912827</v>
      </c>
    </row>
    <row r="189" spans="1:50" s="112" customFormat="1" ht="12">
      <c r="A189" s="92"/>
      <c r="B189" s="58"/>
      <c r="C189" s="70" t="s">
        <v>183</v>
      </c>
      <c r="D189" s="230"/>
      <c r="E189" s="237"/>
      <c r="F189" s="108">
        <f>1/1.07</f>
        <v>0.93457943925233644</v>
      </c>
      <c r="G189" s="108">
        <f>F189/1.07</f>
        <v>0.87343872827321156</v>
      </c>
      <c r="H189" s="108">
        <f t="shared" ref="H189:AC189" si="66">G189/1.07</f>
        <v>0.81629787689085187</v>
      </c>
      <c r="I189" s="108">
        <f t="shared" si="66"/>
        <v>0.76289521204752508</v>
      </c>
      <c r="J189" s="108">
        <f t="shared" si="66"/>
        <v>0.71298617948366827</v>
      </c>
      <c r="K189" s="108">
        <f t="shared" si="66"/>
        <v>0.66634222381651231</v>
      </c>
      <c r="L189" s="108">
        <f t="shared" si="66"/>
        <v>0.62274974188459087</v>
      </c>
      <c r="M189" s="108">
        <f t="shared" si="66"/>
        <v>0.58200910456503818</v>
      </c>
      <c r="N189" s="108">
        <f t="shared" si="66"/>
        <v>0.54393374258414784</v>
      </c>
      <c r="O189" s="108">
        <f t="shared" si="66"/>
        <v>0.50834929213471758</v>
      </c>
      <c r="P189" s="108">
        <f t="shared" si="66"/>
        <v>0.4750927963875865</v>
      </c>
      <c r="Q189" s="108">
        <f t="shared" si="66"/>
        <v>0.444011959240735</v>
      </c>
      <c r="R189" s="108">
        <f t="shared" si="66"/>
        <v>0.41496444788853737</v>
      </c>
      <c r="S189" s="108">
        <f t="shared" si="66"/>
        <v>0.38781724101732462</v>
      </c>
      <c r="T189" s="108">
        <f t="shared" si="66"/>
        <v>0.36244601964235945</v>
      </c>
      <c r="U189" s="108">
        <f t="shared" si="66"/>
        <v>0.33873459779659759</v>
      </c>
      <c r="V189" s="108">
        <f t="shared" si="66"/>
        <v>0.3165743904641099</v>
      </c>
      <c r="W189" s="108">
        <f t="shared" si="66"/>
        <v>0.29586391632159803</v>
      </c>
      <c r="X189" s="108">
        <f t="shared" si="66"/>
        <v>0.27650833301083927</v>
      </c>
      <c r="Y189" s="108">
        <f t="shared" si="66"/>
        <v>0.25841900281386848</v>
      </c>
      <c r="Z189" s="108">
        <f t="shared" si="66"/>
        <v>0.24151308674193314</v>
      </c>
      <c r="AA189" s="108">
        <f t="shared" si="66"/>
        <v>0.22571316517937676</v>
      </c>
      <c r="AB189" s="108">
        <f t="shared" si="66"/>
        <v>0.21094688334521192</v>
      </c>
      <c r="AC189" s="294">
        <f t="shared" si="66"/>
        <v>0.19714661994879618</v>
      </c>
      <c r="AD189" s="385"/>
      <c r="AE189" s="112">
        <f>AC189/1.03</f>
        <v>0.19140448538718075</v>
      </c>
      <c r="AF189" s="112">
        <f>AE189/1.03</f>
        <v>0.18582959746328226</v>
      </c>
      <c r="AG189" s="112">
        <f t="shared" ref="AG189:AX189" si="67">AF189/1.03</f>
        <v>0.18041708491580802</v>
      </c>
      <c r="AH189" s="112">
        <f t="shared" si="67"/>
        <v>0.17516221836486215</v>
      </c>
      <c r="AI189" s="112">
        <f t="shared" si="67"/>
        <v>0.17006040617947782</v>
      </c>
      <c r="AJ189" s="112">
        <f t="shared" si="67"/>
        <v>0.16510719046551245</v>
      </c>
      <c r="AK189" s="112">
        <f t="shared" si="67"/>
        <v>0.16029824317040042</v>
      </c>
      <c r="AL189" s="112">
        <f t="shared" si="67"/>
        <v>0.15562936230135963</v>
      </c>
      <c r="AM189" s="112">
        <f t="shared" si="67"/>
        <v>0.1510964682537472</v>
      </c>
      <c r="AN189" s="112">
        <f t="shared" si="67"/>
        <v>0.1466956002463565</v>
      </c>
      <c r="AO189" s="112">
        <f t="shared" si="67"/>
        <v>0.14242291286054029</v>
      </c>
      <c r="AP189" s="112">
        <f t="shared" si="67"/>
        <v>0.13827467268013621</v>
      </c>
      <c r="AQ189" s="112">
        <f t="shared" si="67"/>
        <v>0.13424725502925847</v>
      </c>
      <c r="AR189" s="112">
        <f t="shared" si="67"/>
        <v>0.13033714080510531</v>
      </c>
      <c r="AS189" s="112">
        <f t="shared" si="67"/>
        <v>0.12654091340301485</v>
      </c>
      <c r="AT189" s="112">
        <f t="shared" si="67"/>
        <v>0.12285525573108237</v>
      </c>
      <c r="AU189" s="112">
        <f t="shared" si="67"/>
        <v>0.11927694731173046</v>
      </c>
      <c r="AV189" s="112">
        <f t="shared" si="67"/>
        <v>0.11580286146769947</v>
      </c>
      <c r="AW189" s="112">
        <f t="shared" si="67"/>
        <v>0.11242996258999949</v>
      </c>
      <c r="AX189" s="112">
        <f t="shared" si="67"/>
        <v>0.10915530348543639</v>
      </c>
    </row>
    <row r="190" spans="1:50" s="112" customFormat="1" ht="12">
      <c r="A190" s="109"/>
      <c r="B190" s="58"/>
      <c r="C190" s="110" t="s">
        <v>181</v>
      </c>
      <c r="D190" s="227"/>
      <c r="E190" s="235">
        <f>SUM(F190:AC190)</f>
        <v>1060393.782242388</v>
      </c>
      <c r="F190" s="111">
        <f>F186*F189</f>
        <v>0</v>
      </c>
      <c r="G190" s="111">
        <f t="shared" ref="G190:AC190" si="68">G186*G189</f>
        <v>-219740.57530598648</v>
      </c>
      <c r="H190" s="111">
        <f t="shared" si="68"/>
        <v>-446912.59682868695</v>
      </c>
      <c r="I190" s="111">
        <f t="shared" si="68"/>
        <v>110065.32842320419</v>
      </c>
      <c r="J190" s="111">
        <f t="shared" si="68"/>
        <v>140857.96946214529</v>
      </c>
      <c r="K190" s="111">
        <f t="shared" si="68"/>
        <v>132611.23531616159</v>
      </c>
      <c r="L190" s="111">
        <f t="shared" si="68"/>
        <v>124815.11196066115</v>
      </c>
      <c r="M190" s="111">
        <f t="shared" si="68"/>
        <v>117471.76235647102</v>
      </c>
      <c r="N190" s="111">
        <f t="shared" si="68"/>
        <v>110555.19052288288</v>
      </c>
      <c r="O190" s="111">
        <f t="shared" si="68"/>
        <v>102939.48871077951</v>
      </c>
      <c r="P190" s="111">
        <f t="shared" si="68"/>
        <v>95992.833363819198</v>
      </c>
      <c r="Q190" s="111">
        <f t="shared" si="68"/>
        <v>89514.816708987913</v>
      </c>
      <c r="R190" s="111">
        <f t="shared" si="68"/>
        <v>83473.833975287751</v>
      </c>
      <c r="S190" s="111">
        <f t="shared" si="68"/>
        <v>77840.411022268017</v>
      </c>
      <c r="T190" s="111">
        <f t="shared" si="68"/>
        <v>72587.060758877138</v>
      </c>
      <c r="U190" s="111">
        <f t="shared" si="68"/>
        <v>67688.149234309676</v>
      </c>
      <c r="V190" s="111">
        <f t="shared" si="68"/>
        <v>63119.770749578354</v>
      </c>
      <c r="W190" s="111">
        <f t="shared" si="68"/>
        <v>58859.631382375112</v>
      </c>
      <c r="X190" s="111">
        <f t="shared" si="68"/>
        <v>54886.940358674045</v>
      </c>
      <c r="Y190" s="111">
        <f t="shared" si="68"/>
        <v>51182.308742663721</v>
      </c>
      <c r="Z190" s="111">
        <f t="shared" si="68"/>
        <v>47744.734954490756</v>
      </c>
      <c r="AA190" s="111">
        <f t="shared" si="68"/>
        <v>44537.963982266672</v>
      </c>
      <c r="AB190" s="111">
        <f t="shared" si="68"/>
        <v>41546.505189471442</v>
      </c>
      <c r="AC190" s="416">
        <f t="shared" si="68"/>
        <v>38755.907201685863</v>
      </c>
      <c r="AD190" s="386">
        <f t="shared" si="55"/>
        <v>1060393.782242388</v>
      </c>
    </row>
    <row r="191" spans="1:50" s="53" customFormat="1" ht="12">
      <c r="A191" s="109"/>
      <c r="B191" s="58"/>
      <c r="C191" s="110"/>
      <c r="D191" s="227"/>
      <c r="E191" s="235"/>
      <c r="F191" s="111"/>
      <c r="G191" s="111"/>
      <c r="AC191" s="283"/>
      <c r="AD191" s="361">
        <f t="shared" si="55"/>
        <v>0</v>
      </c>
    </row>
    <row r="192" spans="1:50" s="53" customFormat="1" ht="12">
      <c r="A192" s="45"/>
      <c r="B192" s="58"/>
      <c r="C192" s="302" t="s">
        <v>187</v>
      </c>
      <c r="D192" s="232"/>
      <c r="E192" s="323">
        <f>IRR(F186:AC186)</f>
        <v>0.21896963206316308</v>
      </c>
      <c r="F192" s="45"/>
      <c r="G192" s="57"/>
      <c r="AC192" s="283"/>
      <c r="AD192" s="361"/>
    </row>
    <row r="193" spans="1:30" s="115" customFormat="1" ht="12">
      <c r="A193" s="113"/>
      <c r="B193" s="58"/>
      <c r="C193" s="117"/>
      <c r="D193" s="119"/>
      <c r="E193" s="113"/>
      <c r="F193" s="114"/>
      <c r="G193" s="114"/>
      <c r="H193" s="114"/>
      <c r="I193" s="114"/>
      <c r="J193" s="114"/>
      <c r="K193" s="114"/>
      <c r="L193" s="114"/>
      <c r="M193" s="114"/>
      <c r="N193" s="114"/>
      <c r="O193" s="114"/>
      <c r="P193" s="114"/>
      <c r="Q193" s="114"/>
      <c r="R193" s="114"/>
      <c r="S193" s="114"/>
      <c r="T193" s="114"/>
      <c r="U193" s="114"/>
      <c r="V193" s="114"/>
      <c r="W193" s="114"/>
      <c r="X193" s="114"/>
      <c r="Y193" s="114"/>
      <c r="AC193" s="295"/>
      <c r="AD193" s="387"/>
    </row>
    <row r="194" spans="1:30" s="115" customFormat="1" ht="12">
      <c r="A194" s="113"/>
      <c r="B194" s="58"/>
      <c r="C194" s="120"/>
      <c r="D194" s="119"/>
      <c r="E194" s="113"/>
      <c r="F194" s="113"/>
      <c r="G194" s="116"/>
      <c r="AC194" s="295"/>
      <c r="AD194" s="387"/>
    </row>
    <row r="195" spans="1:30" s="115" customFormat="1" ht="12">
      <c r="A195" s="113"/>
      <c r="B195" s="113"/>
      <c r="C195" s="117"/>
      <c r="D195" s="121"/>
      <c r="E195" s="122"/>
      <c r="F195" s="122"/>
      <c r="G195" s="118"/>
      <c r="H195" s="118"/>
      <c r="I195" s="118"/>
      <c r="J195" s="118"/>
      <c r="K195" s="118"/>
      <c r="L195" s="118"/>
      <c r="M195" s="118"/>
      <c r="N195" s="118"/>
      <c r="O195" s="118"/>
      <c r="P195" s="118"/>
      <c r="Q195" s="118"/>
      <c r="R195" s="118"/>
      <c r="S195" s="118"/>
      <c r="T195" s="118"/>
      <c r="U195" s="118"/>
      <c r="V195" s="118"/>
      <c r="W195" s="118"/>
      <c r="X195" s="118"/>
      <c r="Y195" s="118"/>
      <c r="AC195" s="295"/>
      <c r="AD195" s="387"/>
    </row>
    <row r="196" spans="1:30" s="115" customFormat="1" ht="12">
      <c r="A196" s="113"/>
      <c r="B196" s="113"/>
      <c r="D196" s="123"/>
      <c r="E196" s="122"/>
      <c r="F196" s="122"/>
      <c r="G196" s="118"/>
      <c r="H196" s="118"/>
      <c r="I196" s="118"/>
      <c r="J196" s="118"/>
      <c r="K196" s="118"/>
      <c r="L196" s="118"/>
      <c r="M196" s="118"/>
      <c r="N196" s="118"/>
      <c r="O196" s="118"/>
      <c r="P196" s="118"/>
      <c r="Q196" s="118"/>
      <c r="R196" s="118"/>
      <c r="S196" s="118"/>
      <c r="T196" s="118"/>
      <c r="U196" s="118"/>
      <c r="V196" s="118"/>
      <c r="W196" s="118"/>
      <c r="X196" s="118"/>
      <c r="Y196" s="118"/>
      <c r="AC196" s="295"/>
      <c r="AD196" s="387"/>
    </row>
    <row r="197" spans="1:30">
      <c r="A197" s="25"/>
      <c r="B197" s="25"/>
      <c r="C197" s="52"/>
      <c r="D197" s="42"/>
      <c r="E197" s="42"/>
      <c r="F197" s="42"/>
    </row>
    <row r="198" spans="1:30">
      <c r="A198" s="25"/>
      <c r="B198" s="25"/>
      <c r="C198" s="52"/>
      <c r="D198" s="42"/>
      <c r="E198" s="42"/>
      <c r="F198" s="42"/>
    </row>
    <row r="199" spans="1:30">
      <c r="A199" s="25"/>
      <c r="B199" s="25"/>
      <c r="C199" s="52"/>
      <c r="D199" s="42"/>
      <c r="E199" s="42"/>
      <c r="F199" s="42"/>
    </row>
    <row r="200" spans="1:30" ht="15.75">
      <c r="C200" s="425" t="s">
        <v>1</v>
      </c>
      <c r="D200" s="442">
        <f>SUM(D201:D204)</f>
        <v>1385.137947615478</v>
      </c>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row>
    <row r="201" spans="1:30" ht="15.75">
      <c r="C201" s="427" t="s">
        <v>199</v>
      </c>
      <c r="D201" s="440">
        <f>-SUM(F201:AC201)/1000</f>
        <v>893.84500000000003</v>
      </c>
      <c r="F201" s="446">
        <f>F6</f>
        <v>0</v>
      </c>
      <c r="G201" s="446">
        <f t="shared" ref="G201:AC201" si="69">G6</f>
        <v>-100000</v>
      </c>
      <c r="H201" s="446">
        <f t="shared" si="69"/>
        <v>-742095</v>
      </c>
      <c r="I201" s="446">
        <f t="shared" si="69"/>
        <v>-51750</v>
      </c>
      <c r="J201" s="446">
        <f t="shared" si="69"/>
        <v>0</v>
      </c>
      <c r="K201" s="446">
        <f t="shared" si="69"/>
        <v>0</v>
      </c>
      <c r="L201" s="446">
        <f t="shared" si="69"/>
        <v>0</v>
      </c>
      <c r="M201" s="446">
        <f t="shared" si="69"/>
        <v>0</v>
      </c>
      <c r="N201" s="446">
        <f t="shared" si="69"/>
        <v>0</v>
      </c>
      <c r="O201" s="446">
        <f t="shared" si="69"/>
        <v>0</v>
      </c>
      <c r="P201" s="446">
        <f t="shared" si="69"/>
        <v>0</v>
      </c>
      <c r="Q201" s="446">
        <f t="shared" si="69"/>
        <v>0</v>
      </c>
      <c r="R201" s="446">
        <f t="shared" si="69"/>
        <v>0</v>
      </c>
      <c r="S201" s="446">
        <f t="shared" si="69"/>
        <v>0</v>
      </c>
      <c r="T201" s="446">
        <f t="shared" si="69"/>
        <v>0</v>
      </c>
      <c r="U201" s="446">
        <f t="shared" si="69"/>
        <v>0</v>
      </c>
      <c r="V201" s="446">
        <f t="shared" si="69"/>
        <v>0</v>
      </c>
      <c r="W201" s="446">
        <f t="shared" si="69"/>
        <v>0</v>
      </c>
      <c r="X201" s="446">
        <f t="shared" si="69"/>
        <v>0</v>
      </c>
      <c r="Y201" s="446">
        <f t="shared" si="69"/>
        <v>0</v>
      </c>
      <c r="Z201" s="446">
        <f t="shared" si="69"/>
        <v>0</v>
      </c>
      <c r="AA201" s="446">
        <f t="shared" si="69"/>
        <v>0</v>
      </c>
      <c r="AB201" s="446">
        <f t="shared" si="69"/>
        <v>0</v>
      </c>
      <c r="AC201" s="446">
        <f t="shared" si="69"/>
        <v>0</v>
      </c>
    </row>
    <row r="202" spans="1:30" ht="15.75">
      <c r="C202" s="427" t="s">
        <v>200</v>
      </c>
      <c r="D202" s="440">
        <f>-SUM(F202:AC202)/1000</f>
        <v>0</v>
      </c>
      <c r="E202" s="42"/>
      <c r="F202" s="446">
        <f>F5</f>
        <v>0</v>
      </c>
      <c r="G202" s="446">
        <f t="shared" ref="G202:AC202" si="70">G5</f>
        <v>0</v>
      </c>
      <c r="H202" s="446">
        <f t="shared" si="70"/>
        <v>0</v>
      </c>
      <c r="I202" s="446">
        <f t="shared" si="70"/>
        <v>0</v>
      </c>
      <c r="J202" s="446">
        <f t="shared" si="70"/>
        <v>0</v>
      </c>
      <c r="K202" s="446">
        <f t="shared" si="70"/>
        <v>0</v>
      </c>
      <c r="L202" s="446">
        <f t="shared" si="70"/>
        <v>0</v>
      </c>
      <c r="M202" s="446">
        <f t="shared" si="70"/>
        <v>0</v>
      </c>
      <c r="N202" s="446">
        <f t="shared" si="70"/>
        <v>0</v>
      </c>
      <c r="O202" s="446">
        <f t="shared" si="70"/>
        <v>0</v>
      </c>
      <c r="P202" s="446">
        <f t="shared" si="70"/>
        <v>0</v>
      </c>
      <c r="Q202" s="446">
        <f t="shared" si="70"/>
        <v>0</v>
      </c>
      <c r="R202" s="446">
        <f t="shared" si="70"/>
        <v>0</v>
      </c>
      <c r="S202" s="446">
        <f t="shared" si="70"/>
        <v>0</v>
      </c>
      <c r="T202" s="446">
        <f t="shared" si="70"/>
        <v>0</v>
      </c>
      <c r="U202" s="446">
        <f t="shared" si="70"/>
        <v>0</v>
      </c>
      <c r="V202" s="446">
        <f t="shared" si="70"/>
        <v>0</v>
      </c>
      <c r="W202" s="446">
        <f t="shared" si="70"/>
        <v>0</v>
      </c>
      <c r="X202" s="446">
        <f t="shared" si="70"/>
        <v>0</v>
      </c>
      <c r="Y202" s="446">
        <f t="shared" si="70"/>
        <v>0</v>
      </c>
      <c r="Z202" s="446">
        <f t="shared" si="70"/>
        <v>0</v>
      </c>
      <c r="AA202" s="446">
        <f t="shared" si="70"/>
        <v>0</v>
      </c>
      <c r="AB202" s="446">
        <f t="shared" si="70"/>
        <v>0</v>
      </c>
      <c r="AC202" s="446">
        <f t="shared" si="70"/>
        <v>0</v>
      </c>
    </row>
    <row r="203" spans="1:30" ht="15.75">
      <c r="A203" s="25"/>
      <c r="B203" s="25"/>
      <c r="C203" s="428" t="s">
        <v>563</v>
      </c>
      <c r="D203" s="440">
        <f>-SUM(F203:AC203)/1000</f>
        <v>151.58098466782394</v>
      </c>
      <c r="E203" s="42"/>
      <c r="F203" s="446">
        <f>F119</f>
        <v>0</v>
      </c>
      <c r="G203" s="446">
        <f t="shared" ref="G203:AC203" si="71">G119</f>
        <v>-151580.98466782394</v>
      </c>
      <c r="H203" s="446">
        <f t="shared" si="71"/>
        <v>0</v>
      </c>
      <c r="I203" s="446">
        <f t="shared" si="71"/>
        <v>0</v>
      </c>
      <c r="J203" s="446">
        <f t="shared" si="71"/>
        <v>0</v>
      </c>
      <c r="K203" s="446">
        <f t="shared" si="71"/>
        <v>0</v>
      </c>
      <c r="L203" s="446">
        <f t="shared" si="71"/>
        <v>0</v>
      </c>
      <c r="M203" s="446">
        <f t="shared" si="71"/>
        <v>0</v>
      </c>
      <c r="N203" s="446">
        <f t="shared" si="71"/>
        <v>0</v>
      </c>
      <c r="O203" s="446">
        <f t="shared" si="71"/>
        <v>0</v>
      </c>
      <c r="P203" s="446">
        <f t="shared" si="71"/>
        <v>0</v>
      </c>
      <c r="Q203" s="446">
        <f t="shared" si="71"/>
        <v>0</v>
      </c>
      <c r="R203" s="446">
        <f t="shared" si="71"/>
        <v>0</v>
      </c>
      <c r="S203" s="446">
        <f t="shared" si="71"/>
        <v>0</v>
      </c>
      <c r="T203" s="446">
        <f t="shared" si="71"/>
        <v>0</v>
      </c>
      <c r="U203" s="446">
        <f t="shared" si="71"/>
        <v>0</v>
      </c>
      <c r="V203" s="446">
        <f t="shared" si="71"/>
        <v>0</v>
      </c>
      <c r="W203" s="446">
        <f t="shared" si="71"/>
        <v>0</v>
      </c>
      <c r="X203" s="446">
        <f t="shared" si="71"/>
        <v>0</v>
      </c>
      <c r="Y203" s="446">
        <f t="shared" si="71"/>
        <v>0</v>
      </c>
      <c r="Z203" s="446">
        <f t="shared" si="71"/>
        <v>0</v>
      </c>
      <c r="AA203" s="446">
        <f t="shared" si="71"/>
        <v>0</v>
      </c>
      <c r="AB203" s="446">
        <f t="shared" si="71"/>
        <v>0</v>
      </c>
      <c r="AC203" s="446">
        <f t="shared" si="71"/>
        <v>0</v>
      </c>
    </row>
    <row r="204" spans="1:30" ht="15.75">
      <c r="C204" s="427" t="s">
        <v>201</v>
      </c>
      <c r="D204" s="440">
        <f>-SUM(F204:AC204)/1000</f>
        <v>339.71196294765406</v>
      </c>
      <c r="E204" s="43"/>
      <c r="F204" s="446">
        <f>F151+F153+F164+F166</f>
        <v>0</v>
      </c>
      <c r="G204" s="446">
        <f t="shared" ref="G204:AC204" si="72">G151+G153+G164+G166</f>
        <v>0</v>
      </c>
      <c r="H204" s="446">
        <f t="shared" si="72"/>
        <v>-14964.614385080255</v>
      </c>
      <c r="I204" s="446">
        <f t="shared" si="72"/>
        <v>-15103.181961028953</v>
      </c>
      <c r="J204" s="446">
        <f t="shared" si="72"/>
        <v>-15241.749536977642</v>
      </c>
      <c r="K204" s="446">
        <f t="shared" si="72"/>
        <v>-15380.317112926343</v>
      </c>
      <c r="L204" s="446">
        <f t="shared" si="72"/>
        <v>-15518.884688875047</v>
      </c>
      <c r="M204" s="446">
        <f t="shared" si="72"/>
        <v>-15657.452264823745</v>
      </c>
      <c r="N204" s="446">
        <f t="shared" si="72"/>
        <v>-15796.01984077244</v>
      </c>
      <c r="O204" s="446">
        <f t="shared" si="72"/>
        <v>-15755.265220318966</v>
      </c>
      <c r="P204" s="446">
        <f t="shared" si="72"/>
        <v>-15714.510599865489</v>
      </c>
      <c r="Q204" s="446">
        <f t="shared" si="72"/>
        <v>-15673.755979412019</v>
      </c>
      <c r="R204" s="446">
        <f t="shared" si="72"/>
        <v>-15633.001358958543</v>
      </c>
      <c r="S204" s="446">
        <f t="shared" si="72"/>
        <v>-15592.246738505062</v>
      </c>
      <c r="T204" s="446">
        <f t="shared" si="72"/>
        <v>-15551.492118051592</v>
      </c>
      <c r="U204" s="446">
        <f t="shared" si="72"/>
        <v>-15510.73749759812</v>
      </c>
      <c r="V204" s="446">
        <f t="shared" si="72"/>
        <v>-15469.982877144639</v>
      </c>
      <c r="W204" s="446">
        <f t="shared" si="72"/>
        <v>-15429.228256691167</v>
      </c>
      <c r="X204" s="446">
        <f t="shared" si="72"/>
        <v>-15388.473636237688</v>
      </c>
      <c r="Y204" s="446">
        <f t="shared" si="72"/>
        <v>-15347.719015784214</v>
      </c>
      <c r="Z204" s="446">
        <f t="shared" si="72"/>
        <v>-15306.964395330748</v>
      </c>
      <c r="AA204" s="446">
        <f t="shared" si="72"/>
        <v>-15266.209774877267</v>
      </c>
      <c r="AB204" s="446">
        <f t="shared" si="72"/>
        <v>-15225.455154423798</v>
      </c>
      <c r="AC204" s="446">
        <f t="shared" si="72"/>
        <v>-15184.700533970317</v>
      </c>
    </row>
    <row r="205" spans="1:30" ht="15.75">
      <c r="C205" s="426"/>
      <c r="D205" s="441"/>
      <c r="F205" s="438">
        <f>SUM(F201:F204)</f>
        <v>0</v>
      </c>
      <c r="G205" s="438">
        <f t="shared" ref="G205:AC205" si="73">SUM(G201:G204)</f>
        <v>-251580.98466782394</v>
      </c>
      <c r="H205" s="438">
        <f t="shared" si="73"/>
        <v>-757059.61438508029</v>
      </c>
      <c r="I205" s="438">
        <f t="shared" si="73"/>
        <v>-66853.181961028953</v>
      </c>
      <c r="J205" s="438">
        <f t="shared" si="73"/>
        <v>-15241.749536977642</v>
      </c>
      <c r="K205" s="438">
        <f t="shared" si="73"/>
        <v>-15380.317112926343</v>
      </c>
      <c r="L205" s="438">
        <f t="shared" si="73"/>
        <v>-15518.884688875047</v>
      </c>
      <c r="M205" s="438">
        <f t="shared" si="73"/>
        <v>-15657.452264823745</v>
      </c>
      <c r="N205" s="438">
        <f t="shared" si="73"/>
        <v>-15796.01984077244</v>
      </c>
      <c r="O205" s="438">
        <f t="shared" si="73"/>
        <v>-15755.265220318966</v>
      </c>
      <c r="P205" s="438">
        <f t="shared" si="73"/>
        <v>-15714.510599865489</v>
      </c>
      <c r="Q205" s="438">
        <f t="shared" si="73"/>
        <v>-15673.755979412019</v>
      </c>
      <c r="R205" s="438">
        <f t="shared" si="73"/>
        <v>-15633.001358958543</v>
      </c>
      <c r="S205" s="438">
        <f t="shared" si="73"/>
        <v>-15592.246738505062</v>
      </c>
      <c r="T205" s="438">
        <f t="shared" si="73"/>
        <v>-15551.492118051592</v>
      </c>
      <c r="U205" s="438">
        <f t="shared" si="73"/>
        <v>-15510.73749759812</v>
      </c>
      <c r="V205" s="438">
        <f t="shared" si="73"/>
        <v>-15469.982877144639</v>
      </c>
      <c r="W205" s="438">
        <f t="shared" si="73"/>
        <v>-15429.228256691167</v>
      </c>
      <c r="X205" s="438">
        <f t="shared" si="73"/>
        <v>-15388.473636237688</v>
      </c>
      <c r="Y205" s="438">
        <f t="shared" si="73"/>
        <v>-15347.719015784214</v>
      </c>
      <c r="Z205" s="438">
        <f t="shared" si="73"/>
        <v>-15306.964395330748</v>
      </c>
      <c r="AA205" s="438">
        <f t="shared" si="73"/>
        <v>-15266.209774877267</v>
      </c>
      <c r="AB205" s="438">
        <f t="shared" si="73"/>
        <v>-15225.455154423798</v>
      </c>
      <c r="AC205" s="438">
        <f t="shared" si="73"/>
        <v>-15184.700533970317</v>
      </c>
    </row>
    <row r="206" spans="1:30" ht="15.75">
      <c r="C206" s="425" t="s">
        <v>0</v>
      </c>
      <c r="D206" s="442">
        <f>SUM(D207:D213)</f>
        <v>4723.9876230433747</v>
      </c>
      <c r="G206" s="25"/>
      <c r="H206" s="25"/>
      <c r="I206" s="25"/>
      <c r="J206" s="25"/>
      <c r="K206" s="25"/>
      <c r="L206" s="25"/>
      <c r="M206" s="25"/>
      <c r="N206" s="25"/>
      <c r="O206" s="25"/>
      <c r="P206" s="25"/>
      <c r="Q206" s="25"/>
      <c r="R206" s="25"/>
      <c r="S206" s="25"/>
      <c r="T206" s="25"/>
      <c r="U206" s="25"/>
      <c r="V206" s="25"/>
      <c r="W206" s="25"/>
      <c r="X206" s="25"/>
      <c r="Y206" s="25"/>
      <c r="Z206" s="25"/>
      <c r="AA206" s="25"/>
      <c r="AB206" s="25"/>
      <c r="AC206" s="25"/>
    </row>
    <row r="207" spans="1:30" ht="15.75">
      <c r="C207" s="427" t="s">
        <v>599</v>
      </c>
      <c r="D207" s="440">
        <f t="shared" ref="D207:D213" si="74">SUM(F207:AC207)/1000</f>
        <v>228.36972090781893</v>
      </c>
      <c r="F207" s="447">
        <f>F45+F57+F71+F84</f>
        <v>0</v>
      </c>
      <c r="G207" s="447">
        <f t="shared" ref="G207:AC207" si="75">G45+G57+G71+G84</f>
        <v>0</v>
      </c>
      <c r="H207" s="447">
        <f t="shared" si="75"/>
        <v>8922.3376706637828</v>
      </c>
      <c r="I207" s="447">
        <f t="shared" si="75"/>
        <v>9109.3326754717273</v>
      </c>
      <c r="J207" s="447">
        <f t="shared" si="75"/>
        <v>9298.972379718758</v>
      </c>
      <c r="K207" s="447">
        <f t="shared" si="75"/>
        <v>9491.2843505316778</v>
      </c>
      <c r="L207" s="447">
        <f t="shared" si="75"/>
        <v>9686.2965395025112</v>
      </c>
      <c r="M207" s="447">
        <f t="shared" si="75"/>
        <v>9884.0372894143038</v>
      </c>
      <c r="N207" s="447">
        <f t="shared" si="75"/>
        <v>10084.535341108738</v>
      </c>
      <c r="O207" s="447">
        <f t="shared" si="75"/>
        <v>10172.044364062551</v>
      </c>
      <c r="P207" s="447">
        <f t="shared" si="75"/>
        <v>10259.766833726062</v>
      </c>
      <c r="Q207" s="447">
        <f t="shared" si="75"/>
        <v>10347.705022338891</v>
      </c>
      <c r="R207" s="447">
        <f t="shared" si="75"/>
        <v>10435.861234507511</v>
      </c>
      <c r="S207" s="447">
        <f t="shared" si="75"/>
        <v>10524.237807783724</v>
      </c>
      <c r="T207" s="447">
        <f t="shared" si="75"/>
        <v>10612.837113255429</v>
      </c>
      <c r="U207" s="447">
        <f t="shared" si="75"/>
        <v>10701.661556150224</v>
      </c>
      <c r="V207" s="447">
        <f t="shared" si="75"/>
        <v>10790.713576452037</v>
      </c>
      <c r="W207" s="447">
        <f t="shared" si="75"/>
        <v>10879.995649531242</v>
      </c>
      <c r="X207" s="447">
        <f t="shared" si="75"/>
        <v>10969.510286788482</v>
      </c>
      <c r="Y207" s="447">
        <f t="shared" si="75"/>
        <v>11059.2600363126</v>
      </c>
      <c r="Z207" s="447">
        <f t="shared" si="75"/>
        <v>11149.247483553056</v>
      </c>
      <c r="AA207" s="447">
        <f t="shared" si="75"/>
        <v>11239.475252007189</v>
      </c>
      <c r="AB207" s="447">
        <f t="shared" si="75"/>
        <v>11329.946003922703</v>
      </c>
      <c r="AC207" s="447">
        <f t="shared" si="75"/>
        <v>11420.662441015736</v>
      </c>
    </row>
    <row r="208" spans="1:30" ht="15.75">
      <c r="C208" s="427" t="s">
        <v>600</v>
      </c>
      <c r="D208" s="440">
        <f t="shared" si="74"/>
        <v>952.45775830240893</v>
      </c>
      <c r="F208" s="446">
        <f>F64+F91</f>
        <v>0</v>
      </c>
      <c r="G208" s="446">
        <f t="shared" ref="G208:AC208" si="76">G64+G91</f>
        <v>0</v>
      </c>
      <c r="H208" s="446">
        <f t="shared" si="76"/>
        <v>41956.612146949257</v>
      </c>
      <c r="I208" s="446">
        <f t="shared" si="76"/>
        <v>42345.117048620414</v>
      </c>
      <c r="J208" s="446">
        <f t="shared" si="76"/>
        <v>42733.62195029157</v>
      </c>
      <c r="K208" s="446">
        <f t="shared" si="76"/>
        <v>43122.126851962727</v>
      </c>
      <c r="L208" s="446">
        <f t="shared" si="76"/>
        <v>43510.631753633905</v>
      </c>
      <c r="M208" s="446">
        <f t="shared" si="76"/>
        <v>43899.136655305068</v>
      </c>
      <c r="N208" s="446">
        <f t="shared" si="76"/>
        <v>44287.641556976225</v>
      </c>
      <c r="O208" s="446">
        <f t="shared" si="76"/>
        <v>44173.376948509773</v>
      </c>
      <c r="P208" s="446">
        <f t="shared" si="76"/>
        <v>44059.112340043335</v>
      </c>
      <c r="Q208" s="446">
        <f t="shared" si="76"/>
        <v>43944.847731576883</v>
      </c>
      <c r="R208" s="446">
        <f t="shared" si="76"/>
        <v>43830.583123110446</v>
      </c>
      <c r="S208" s="446">
        <f t="shared" si="76"/>
        <v>43716.318514643979</v>
      </c>
      <c r="T208" s="446">
        <f t="shared" si="76"/>
        <v>43602.053906177542</v>
      </c>
      <c r="U208" s="446">
        <f t="shared" si="76"/>
        <v>43487.789297711097</v>
      </c>
      <c r="V208" s="446">
        <f t="shared" si="76"/>
        <v>43373.524689244645</v>
      </c>
      <c r="W208" s="446">
        <f t="shared" si="76"/>
        <v>43259.260080778193</v>
      </c>
      <c r="X208" s="446">
        <f t="shared" si="76"/>
        <v>43144.995472311741</v>
      </c>
      <c r="Y208" s="446">
        <f t="shared" si="76"/>
        <v>43030.730863845303</v>
      </c>
      <c r="Z208" s="446">
        <f t="shared" si="76"/>
        <v>42916.466255378858</v>
      </c>
      <c r="AA208" s="446">
        <f t="shared" si="76"/>
        <v>42802.201646912406</v>
      </c>
      <c r="AB208" s="446">
        <f t="shared" si="76"/>
        <v>42687.937038445962</v>
      </c>
      <c r="AC208" s="446">
        <f t="shared" si="76"/>
        <v>42573.67242997951</v>
      </c>
    </row>
    <row r="209" spans="3:29" ht="15.75">
      <c r="C209" s="427" t="s">
        <v>202</v>
      </c>
      <c r="D209" s="440">
        <f t="shared" si="74"/>
        <v>20.873504973556045</v>
      </c>
      <c r="F209" s="446">
        <f>F108</f>
        <v>0</v>
      </c>
      <c r="G209" s="446">
        <f t="shared" ref="G209:AC209" si="77">G108</f>
        <v>0</v>
      </c>
      <c r="H209" s="446">
        <f t="shared" si="77"/>
        <v>540.3125314105182</v>
      </c>
      <c r="I209" s="446">
        <f t="shared" si="77"/>
        <v>580.10798449940296</v>
      </c>
      <c r="J209" s="446">
        <f t="shared" si="77"/>
        <v>620.78500406798435</v>
      </c>
      <c r="K209" s="446">
        <f t="shared" si="77"/>
        <v>662.35277915853226</v>
      </c>
      <c r="L209" s="446">
        <f t="shared" si="77"/>
        <v>704.82062696837988</v>
      </c>
      <c r="M209" s="446">
        <f t="shared" si="77"/>
        <v>748.19799509188374</v>
      </c>
      <c r="N209" s="446">
        <f t="shared" si="77"/>
        <v>792.49446380960524</v>
      </c>
      <c r="O209" s="446">
        <f t="shared" si="77"/>
        <v>828.29234743154075</v>
      </c>
      <c r="P209" s="446">
        <f t="shared" si="77"/>
        <v>864.16137995671647</v>
      </c>
      <c r="Q209" s="446">
        <f t="shared" si="77"/>
        <v>900.10231879832634</v>
      </c>
      <c r="R209" s="446">
        <f t="shared" si="77"/>
        <v>936.11593215853554</v>
      </c>
      <c r="S209" s="446">
        <f t="shared" si="77"/>
        <v>972.20299922127674</v>
      </c>
      <c r="T209" s="446">
        <f t="shared" si="77"/>
        <v>1008.36431034918</v>
      </c>
      <c r="U209" s="446">
        <f t="shared" si="77"/>
        <v>1044.6006672847775</v>
      </c>
      <c r="V209" s="446">
        <f t="shared" si="77"/>
        <v>1080.9128833560508</v>
      </c>
      <c r="W209" s="446">
        <f t="shared" si="77"/>
        <v>1117.301783686456</v>
      </c>
      <c r="X209" s="446">
        <f t="shared" si="77"/>
        <v>1153.7682054095367</v>
      </c>
      <c r="Y209" s="446">
        <f t="shared" si="77"/>
        <v>1190.3129978882457</v>
      </c>
      <c r="Z209" s="446">
        <f t="shared" si="77"/>
        <v>1226.9370229390674</v>
      </c>
      <c r="AA209" s="446">
        <f t="shared" si="77"/>
        <v>1263.6411550611151</v>
      </c>
      <c r="AB209" s="446">
        <f t="shared" si="77"/>
        <v>1300.4262816702837</v>
      </c>
      <c r="AC209" s="446">
        <f t="shared" si="77"/>
        <v>1337.2933033386298</v>
      </c>
    </row>
    <row r="210" spans="3:29" ht="15.75">
      <c r="C210" s="427" t="s">
        <v>203</v>
      </c>
      <c r="D210" s="440">
        <f t="shared" si="74"/>
        <v>1602.2951829192743</v>
      </c>
      <c r="F210" s="446">
        <f>F121-F119</f>
        <v>0</v>
      </c>
      <c r="G210" s="446">
        <f t="shared" ref="G210:AC210" si="78">G121-G119</f>
        <v>0</v>
      </c>
      <c r="H210" s="446">
        <f t="shared" si="78"/>
        <v>70582.529197399141</v>
      </c>
      <c r="I210" s="446">
        <f t="shared" si="78"/>
        <v>71236.100998418158</v>
      </c>
      <c r="J210" s="446">
        <f t="shared" si="78"/>
        <v>71889.672799437147</v>
      </c>
      <c r="K210" s="446">
        <f t="shared" si="78"/>
        <v>72543.244600456121</v>
      </c>
      <c r="L210" s="446">
        <f t="shared" si="78"/>
        <v>73196.816401475153</v>
      </c>
      <c r="M210" s="446">
        <f t="shared" si="78"/>
        <v>73850.388202494141</v>
      </c>
      <c r="N210" s="446">
        <f t="shared" si="78"/>
        <v>74503.960003513144</v>
      </c>
      <c r="O210" s="446">
        <f t="shared" si="78"/>
        <v>74311.735592374695</v>
      </c>
      <c r="P210" s="446">
        <f t="shared" si="78"/>
        <v>74119.51118123623</v>
      </c>
      <c r="Q210" s="446">
        <f t="shared" si="78"/>
        <v>73927.286770097751</v>
      </c>
      <c r="R210" s="446">
        <f t="shared" si="78"/>
        <v>73735.062358959316</v>
      </c>
      <c r="S210" s="446">
        <f t="shared" si="78"/>
        <v>73542.837947820837</v>
      </c>
      <c r="T210" s="446">
        <f t="shared" si="78"/>
        <v>73350.613536682344</v>
      </c>
      <c r="U210" s="446">
        <f t="shared" si="78"/>
        <v>73158.389125543894</v>
      </c>
      <c r="V210" s="446">
        <f t="shared" si="78"/>
        <v>72966.164714405415</v>
      </c>
      <c r="W210" s="446">
        <f t="shared" si="78"/>
        <v>72773.940303266936</v>
      </c>
      <c r="X210" s="446">
        <f t="shared" si="78"/>
        <v>72581.715892128457</v>
      </c>
      <c r="Y210" s="446">
        <f t="shared" si="78"/>
        <v>72389.491480990007</v>
      </c>
      <c r="Z210" s="446">
        <f t="shared" si="78"/>
        <v>72197.267069851543</v>
      </c>
      <c r="AA210" s="446">
        <f t="shared" si="78"/>
        <v>72005.04265871305</v>
      </c>
      <c r="AB210" s="446">
        <f t="shared" si="78"/>
        <v>71812.818247574629</v>
      </c>
      <c r="AC210" s="446">
        <f t="shared" si="78"/>
        <v>71620.593836436135</v>
      </c>
    </row>
    <row r="211" spans="3:29" ht="15.75">
      <c r="C211" s="427" t="s">
        <v>204</v>
      </c>
      <c r="D211" s="440">
        <f t="shared" si="74"/>
        <v>226.42215720200161</v>
      </c>
      <c r="F211" s="446">
        <f>F139+F124</f>
        <v>0</v>
      </c>
      <c r="G211" s="446">
        <f t="shared" ref="G211:AC211" si="79">G139+G124</f>
        <v>0</v>
      </c>
      <c r="H211" s="446">
        <f t="shared" si="79"/>
        <v>12967.439228889572</v>
      </c>
      <c r="I211" s="446">
        <f t="shared" si="79"/>
        <v>12561.679075547891</v>
      </c>
      <c r="J211" s="446">
        <f t="shared" si="79"/>
        <v>12274.446478550699</v>
      </c>
      <c r="K211" s="446">
        <f t="shared" si="79"/>
        <v>11899.372327055786</v>
      </c>
      <c r="L211" s="446">
        <f t="shared" si="79"/>
        <v>11479.669837406813</v>
      </c>
      <c r="M211" s="446">
        <f t="shared" si="79"/>
        <v>11056.804161023018</v>
      </c>
      <c r="N211" s="446">
        <f t="shared" si="79"/>
        <v>10630.548148156582</v>
      </c>
      <c r="O211" s="446">
        <f t="shared" si="79"/>
        <v>10222.496478402543</v>
      </c>
      <c r="P211" s="446">
        <f t="shared" si="79"/>
        <v>10120.961551114948</v>
      </c>
      <c r="Q211" s="446">
        <f t="shared" si="79"/>
        <v>10019.805788762678</v>
      </c>
      <c r="R211" s="446">
        <f t="shared" si="79"/>
        <v>9919.0289341359421</v>
      </c>
      <c r="S211" s="446">
        <f t="shared" si="79"/>
        <v>9818.6307269168265</v>
      </c>
      <c r="T211" s="446">
        <f t="shared" si="79"/>
        <v>9718.6109036372363</v>
      </c>
      <c r="U211" s="446">
        <f t="shared" si="79"/>
        <v>9618.9691976362483</v>
      </c>
      <c r="V211" s="446">
        <f t="shared" si="79"/>
        <v>9519.7053390170113</v>
      </c>
      <c r="W211" s="446">
        <f t="shared" si="79"/>
        <v>9420.8190546030874</v>
      </c>
      <c r="X211" s="446">
        <f t="shared" si="79"/>
        <v>9322.3100678942355</v>
      </c>
      <c r="Y211" s="446">
        <f t="shared" si="79"/>
        <v>9224.1780990217048</v>
      </c>
      <c r="Z211" s="446">
        <f t="shared" si="79"/>
        <v>9197.1436796890212</v>
      </c>
      <c r="AA211" s="446">
        <f t="shared" si="79"/>
        <v>9170.1405993549961</v>
      </c>
      <c r="AB211" s="446">
        <f t="shared" si="79"/>
        <v>9143.1689001424566</v>
      </c>
      <c r="AC211" s="446">
        <f t="shared" si="79"/>
        <v>9116.2286250423749</v>
      </c>
    </row>
    <row r="212" spans="3:29" ht="15.75">
      <c r="C212" s="427" t="s">
        <v>601</v>
      </c>
      <c r="D212" s="440">
        <f t="shared" si="74"/>
        <v>5.3233215318085489E-2</v>
      </c>
      <c r="F212" s="446">
        <f>F144</f>
        <v>0</v>
      </c>
      <c r="G212" s="446">
        <f t="shared" ref="G212:AC212" si="80">G144</f>
        <v>0</v>
      </c>
      <c r="H212" s="446">
        <f t="shared" si="80"/>
        <v>2.3449705238547818</v>
      </c>
      <c r="I212" s="446">
        <f t="shared" si="80"/>
        <v>2.3666842060653752</v>
      </c>
      <c r="J212" s="446">
        <f t="shared" si="80"/>
        <v>2.3883978882759678</v>
      </c>
      <c r="K212" s="446">
        <f t="shared" si="80"/>
        <v>2.4101115704865612</v>
      </c>
      <c r="L212" s="446">
        <f t="shared" si="80"/>
        <v>2.4318252526971547</v>
      </c>
      <c r="M212" s="446">
        <f t="shared" si="80"/>
        <v>2.4535389349077477</v>
      </c>
      <c r="N212" s="446">
        <f t="shared" si="80"/>
        <v>2.4752526171183411</v>
      </c>
      <c r="O212" s="446">
        <f t="shared" si="80"/>
        <v>2.4688663260175456</v>
      </c>
      <c r="P212" s="446">
        <f t="shared" si="80"/>
        <v>2.4624800349167484</v>
      </c>
      <c r="Q212" s="446">
        <f t="shared" si="80"/>
        <v>2.456093743815952</v>
      </c>
      <c r="R212" s="446">
        <f t="shared" si="80"/>
        <v>2.4497074527151561</v>
      </c>
      <c r="S212" s="446">
        <f t="shared" si="80"/>
        <v>2.4433211616143597</v>
      </c>
      <c r="T212" s="446">
        <f t="shared" si="80"/>
        <v>2.4369348705135634</v>
      </c>
      <c r="U212" s="446">
        <f t="shared" si="80"/>
        <v>2.430548579412767</v>
      </c>
      <c r="V212" s="446">
        <f t="shared" si="80"/>
        <v>2.4241622883119702</v>
      </c>
      <c r="W212" s="446">
        <f t="shared" si="80"/>
        <v>2.4177759972111734</v>
      </c>
      <c r="X212" s="446">
        <f t="shared" si="80"/>
        <v>2.4113897061103771</v>
      </c>
      <c r="Y212" s="446">
        <f t="shared" si="80"/>
        <v>2.4050034150095811</v>
      </c>
      <c r="Z212" s="446">
        <f t="shared" si="80"/>
        <v>2.3986171239087848</v>
      </c>
      <c r="AA212" s="446">
        <f t="shared" si="80"/>
        <v>2.3922308328079884</v>
      </c>
      <c r="AB212" s="446">
        <f t="shared" si="80"/>
        <v>2.3858445417071925</v>
      </c>
      <c r="AC212" s="446">
        <f t="shared" si="80"/>
        <v>2.3794582506063962</v>
      </c>
    </row>
    <row r="213" spans="3:29" ht="15.75">
      <c r="C213" s="427" t="s">
        <v>205</v>
      </c>
      <c r="D213" s="440">
        <f t="shared" si="74"/>
        <v>1693.5160655229972</v>
      </c>
      <c r="F213" s="446">
        <f>F157+F159+F170+F172+F176+F178+F180</f>
        <v>0</v>
      </c>
      <c r="G213" s="446">
        <f t="shared" ref="G213:AC213" si="81">G157+G159+G170+G172+G176+G178+G180</f>
        <v>0</v>
      </c>
      <c r="H213" s="446">
        <f t="shared" si="81"/>
        <v>74600.890282439097</v>
      </c>
      <c r="I213" s="446">
        <f t="shared" si="81"/>
        <v>75291.670830741015</v>
      </c>
      <c r="J213" s="446">
        <f t="shared" si="81"/>
        <v>75982.451379042905</v>
      </c>
      <c r="K213" s="446">
        <f t="shared" si="81"/>
        <v>76673.231927344794</v>
      </c>
      <c r="L213" s="446">
        <f t="shared" si="81"/>
        <v>77364.012475646727</v>
      </c>
      <c r="M213" s="446">
        <f t="shared" si="81"/>
        <v>78054.793023948616</v>
      </c>
      <c r="N213" s="446">
        <f t="shared" si="81"/>
        <v>78745.573572250549</v>
      </c>
      <c r="O213" s="446">
        <f t="shared" si="81"/>
        <v>78542.405559315754</v>
      </c>
      <c r="P213" s="446">
        <f t="shared" si="81"/>
        <v>78339.237546380959</v>
      </c>
      <c r="Q213" s="446">
        <f t="shared" si="81"/>
        <v>78136.069533446178</v>
      </c>
      <c r="R213" s="446">
        <f t="shared" si="81"/>
        <v>77932.901520511383</v>
      </c>
      <c r="S213" s="446">
        <f t="shared" si="81"/>
        <v>77729.733507576573</v>
      </c>
      <c r="T213" s="446">
        <f t="shared" si="81"/>
        <v>77526.565494641807</v>
      </c>
      <c r="U213" s="446">
        <f t="shared" si="81"/>
        <v>77323.397481707012</v>
      </c>
      <c r="V213" s="446">
        <f t="shared" si="81"/>
        <v>77120.229468772217</v>
      </c>
      <c r="W213" s="446">
        <f t="shared" si="81"/>
        <v>76917.061455837436</v>
      </c>
      <c r="X213" s="446">
        <f t="shared" si="81"/>
        <v>76713.893442902641</v>
      </c>
      <c r="Y213" s="446">
        <f t="shared" si="81"/>
        <v>76510.725429967846</v>
      </c>
      <c r="Z213" s="446">
        <f t="shared" si="81"/>
        <v>76307.557417033066</v>
      </c>
      <c r="AA213" s="446">
        <f t="shared" si="81"/>
        <v>76104.389404098285</v>
      </c>
      <c r="AB213" s="446">
        <f t="shared" si="81"/>
        <v>75901.221391163504</v>
      </c>
      <c r="AC213" s="446">
        <f t="shared" si="81"/>
        <v>75698.053378228695</v>
      </c>
    </row>
    <row r="214" spans="3:29" ht="15.75">
      <c r="C214" s="426"/>
      <c r="D214" s="441"/>
      <c r="F214" s="437">
        <f>SUM(F207:F213)</f>
        <v>0</v>
      </c>
      <c r="G214" s="437">
        <f t="shared" ref="G214:AC214" si="82">SUM(G207:G213)</f>
        <v>0</v>
      </c>
      <c r="H214" s="437">
        <f t="shared" si="82"/>
        <v>209572.4660282752</v>
      </c>
      <c r="I214" s="437">
        <f t="shared" si="82"/>
        <v>211126.37529750465</v>
      </c>
      <c r="J214" s="437">
        <f t="shared" si="82"/>
        <v>212802.33838899733</v>
      </c>
      <c r="K214" s="437">
        <f t="shared" si="82"/>
        <v>214394.02294808015</v>
      </c>
      <c r="L214" s="437">
        <f t="shared" si="82"/>
        <v>215944.67945988616</v>
      </c>
      <c r="M214" s="437">
        <f t="shared" si="82"/>
        <v>217495.81086621195</v>
      </c>
      <c r="N214" s="437">
        <f t="shared" si="82"/>
        <v>219047.22833843197</v>
      </c>
      <c r="O214" s="437">
        <f t="shared" si="82"/>
        <v>218252.82015642288</v>
      </c>
      <c r="P214" s="437">
        <f t="shared" si="82"/>
        <v>217765.21331249317</v>
      </c>
      <c r="Q214" s="437">
        <f t="shared" si="82"/>
        <v>217278.27325876453</v>
      </c>
      <c r="R214" s="437">
        <f t="shared" si="82"/>
        <v>216792.00281083584</v>
      </c>
      <c r="S214" s="437">
        <f t="shared" si="82"/>
        <v>216306.40482512483</v>
      </c>
      <c r="T214" s="437">
        <f t="shared" si="82"/>
        <v>215821.48219961405</v>
      </c>
      <c r="U214" s="437">
        <f t="shared" si="82"/>
        <v>215337.23787461265</v>
      </c>
      <c r="V214" s="437">
        <f t="shared" si="82"/>
        <v>214853.67483353568</v>
      </c>
      <c r="W214" s="437">
        <f t="shared" si="82"/>
        <v>214370.79610370059</v>
      </c>
      <c r="X214" s="437">
        <f t="shared" si="82"/>
        <v>213888.60475714121</v>
      </c>
      <c r="Y214" s="437">
        <f t="shared" si="82"/>
        <v>213407.1039114407</v>
      </c>
      <c r="Z214" s="437">
        <f t="shared" si="82"/>
        <v>212997.01754556855</v>
      </c>
      <c r="AA214" s="437">
        <f t="shared" si="82"/>
        <v>212587.28294697986</v>
      </c>
      <c r="AB214" s="437">
        <f t="shared" si="82"/>
        <v>212177.90370746126</v>
      </c>
      <c r="AC214" s="437">
        <f t="shared" si="82"/>
        <v>211768.88347229169</v>
      </c>
    </row>
    <row r="215" spans="3:29" ht="15.75">
      <c r="C215" s="425" t="s">
        <v>184</v>
      </c>
      <c r="D215" s="442"/>
      <c r="G215" s="25"/>
      <c r="H215" s="25"/>
      <c r="I215" s="25"/>
      <c r="J215" s="25"/>
      <c r="K215" s="25"/>
      <c r="L215" s="25"/>
      <c r="M215" s="25"/>
      <c r="N215" s="25"/>
      <c r="O215" s="25"/>
      <c r="P215" s="25"/>
      <c r="Q215" s="25"/>
      <c r="R215" s="25"/>
      <c r="S215" s="25"/>
      <c r="T215" s="25"/>
      <c r="U215" s="25"/>
      <c r="V215" s="25"/>
      <c r="W215" s="25"/>
      <c r="X215" s="25"/>
      <c r="Y215" s="25"/>
      <c r="Z215" s="25"/>
      <c r="AA215" s="25"/>
      <c r="AB215" s="25"/>
      <c r="AC215" s="25"/>
    </row>
    <row r="216" spans="3:29" ht="15.75">
      <c r="C216" s="425" t="s">
        <v>185</v>
      </c>
      <c r="D216" s="443">
        <f>IRR(F216:AC216)</f>
        <v>0.21896963206316308</v>
      </c>
      <c r="F216" s="439">
        <f>F205+F214</f>
        <v>0</v>
      </c>
      <c r="G216" s="439">
        <f t="shared" ref="G216:AC216" si="83">G205+G214</f>
        <v>-251580.98466782394</v>
      </c>
      <c r="H216" s="439">
        <f t="shared" si="83"/>
        <v>-547487.14835680509</v>
      </c>
      <c r="I216" s="439">
        <f t="shared" si="83"/>
        <v>144273.1933364757</v>
      </c>
      <c r="J216" s="439">
        <f t="shared" si="83"/>
        <v>197560.58885201969</v>
      </c>
      <c r="K216" s="439">
        <f t="shared" si="83"/>
        <v>199013.70583515381</v>
      </c>
      <c r="L216" s="439">
        <f t="shared" si="83"/>
        <v>200425.7947710111</v>
      </c>
      <c r="M216" s="439">
        <f t="shared" si="83"/>
        <v>201838.3586013882</v>
      </c>
      <c r="N216" s="439">
        <f t="shared" si="83"/>
        <v>203251.20849765954</v>
      </c>
      <c r="O216" s="439">
        <f t="shared" si="83"/>
        <v>202497.5549361039</v>
      </c>
      <c r="P216" s="439">
        <f t="shared" si="83"/>
        <v>202050.70271262768</v>
      </c>
      <c r="Q216" s="439">
        <f t="shared" si="83"/>
        <v>201604.5172793525</v>
      </c>
      <c r="R216" s="439">
        <f t="shared" si="83"/>
        <v>201159.0014518773</v>
      </c>
      <c r="S216" s="439">
        <f t="shared" si="83"/>
        <v>200714.15808661978</v>
      </c>
      <c r="T216" s="439">
        <f t="shared" si="83"/>
        <v>200269.99008156246</v>
      </c>
      <c r="U216" s="439">
        <f t="shared" si="83"/>
        <v>199826.50037701454</v>
      </c>
      <c r="V216" s="439">
        <f t="shared" si="83"/>
        <v>199383.69195639103</v>
      </c>
      <c r="W216" s="439">
        <f t="shared" si="83"/>
        <v>198941.56784700943</v>
      </c>
      <c r="X216" s="439">
        <f t="shared" si="83"/>
        <v>198500.1311209035</v>
      </c>
      <c r="Y216" s="439">
        <f t="shared" si="83"/>
        <v>198059.38489565649</v>
      </c>
      <c r="Z216" s="439">
        <f t="shared" si="83"/>
        <v>197690.0531502378</v>
      </c>
      <c r="AA216" s="439">
        <f t="shared" si="83"/>
        <v>197321.07317210259</v>
      </c>
      <c r="AB216" s="439">
        <f t="shared" si="83"/>
        <v>196952.44855303745</v>
      </c>
      <c r="AC216" s="439">
        <f t="shared" si="83"/>
        <v>196584.18293832138</v>
      </c>
    </row>
    <row r="217" spans="3:29" ht="15.75">
      <c r="C217" s="425" t="s">
        <v>186</v>
      </c>
      <c r="D217" s="444">
        <f>SUM(D207:D213)/SUM(D201:D204)</f>
        <v>3.4104817005235786</v>
      </c>
      <c r="F217" s="431">
        <f t="shared" ref="F217:AC217" si="84">F216-F186</f>
        <v>0</v>
      </c>
      <c r="G217" s="431">
        <f t="shared" si="84"/>
        <v>0</v>
      </c>
      <c r="H217" s="431">
        <f t="shared" si="84"/>
        <v>0</v>
      </c>
      <c r="I217" s="431">
        <f t="shared" si="84"/>
        <v>0</v>
      </c>
      <c r="J217" s="431">
        <f t="shared" si="84"/>
        <v>0</v>
      </c>
      <c r="K217" s="431">
        <f t="shared" si="84"/>
        <v>0</v>
      </c>
      <c r="L217" s="431">
        <f t="shared" si="84"/>
        <v>0</v>
      </c>
      <c r="M217" s="431">
        <f t="shared" si="84"/>
        <v>0</v>
      </c>
      <c r="N217" s="431">
        <f t="shared" si="84"/>
        <v>0</v>
      </c>
      <c r="O217" s="431">
        <f t="shared" si="84"/>
        <v>0</v>
      </c>
      <c r="P217" s="431">
        <f t="shared" si="84"/>
        <v>0</v>
      </c>
      <c r="Q217" s="431">
        <f t="shared" si="84"/>
        <v>0</v>
      </c>
      <c r="R217" s="431">
        <f t="shared" si="84"/>
        <v>0</v>
      </c>
      <c r="S217" s="431">
        <f t="shared" si="84"/>
        <v>0</v>
      </c>
      <c r="T217" s="431">
        <f t="shared" si="84"/>
        <v>0</v>
      </c>
      <c r="U217" s="431">
        <f t="shared" si="84"/>
        <v>0</v>
      </c>
      <c r="V217" s="431">
        <f t="shared" si="84"/>
        <v>0</v>
      </c>
      <c r="W217" s="431">
        <f t="shared" si="84"/>
        <v>0</v>
      </c>
      <c r="X217" s="431">
        <f t="shared" si="84"/>
        <v>0</v>
      </c>
      <c r="Y217" s="431">
        <f t="shared" si="84"/>
        <v>0</v>
      </c>
      <c r="Z217" s="431">
        <f t="shared" si="84"/>
        <v>0</v>
      </c>
      <c r="AA217" s="431">
        <f t="shared" si="84"/>
        <v>0</v>
      </c>
      <c r="AB217" s="431">
        <f t="shared" si="84"/>
        <v>0</v>
      </c>
      <c r="AC217" s="431">
        <f t="shared" si="84"/>
        <v>0</v>
      </c>
    </row>
    <row r="218" spans="3:29">
      <c r="C218" s="50"/>
      <c r="D218" s="40"/>
      <c r="F218" s="39"/>
    </row>
    <row r="219" spans="3:29">
      <c r="C219" s="50"/>
      <c r="D219" s="25"/>
      <c r="F219" s="39"/>
    </row>
    <row r="220" spans="3:29" ht="14.25">
      <c r="C220" s="436" t="s">
        <v>602</v>
      </c>
      <c r="D220" s="39"/>
      <c r="E220" s="39"/>
      <c r="F220" s="39"/>
    </row>
    <row r="221" spans="3:29" ht="15.75">
      <c r="C221" s="425" t="s">
        <v>1</v>
      </c>
      <c r="D221" s="442">
        <f>SUM(D222:D225)</f>
        <v>1194.2140139829385</v>
      </c>
      <c r="E221" s="39"/>
      <c r="F221" s="446"/>
      <c r="G221" s="446"/>
      <c r="H221" s="446"/>
      <c r="I221" s="446"/>
      <c r="J221" s="446"/>
      <c r="K221" s="446"/>
      <c r="L221" s="446"/>
      <c r="M221" s="446"/>
      <c r="N221" s="446"/>
      <c r="O221" s="446"/>
      <c r="P221" s="446"/>
      <c r="Q221" s="446"/>
      <c r="R221" s="446"/>
      <c r="S221" s="446"/>
      <c r="T221" s="446"/>
      <c r="U221" s="446"/>
      <c r="V221" s="446"/>
      <c r="W221" s="446"/>
      <c r="X221" s="446"/>
      <c r="Y221" s="446"/>
      <c r="Z221" s="446"/>
      <c r="AA221" s="446"/>
      <c r="AB221" s="446"/>
      <c r="AC221" s="446"/>
    </row>
    <row r="222" spans="3:29" ht="15.75">
      <c r="C222" s="427" t="s">
        <v>199</v>
      </c>
      <c r="D222" s="440">
        <f>-SUM(F222:AC222)/1000</f>
        <v>819.36084534069528</v>
      </c>
      <c r="E222" s="39"/>
      <c r="F222" s="446">
        <f t="shared" ref="F222:AC222" si="85">F201*F$187</f>
        <v>0</v>
      </c>
      <c r="G222" s="446">
        <f t="shared" si="85"/>
        <v>-94259.590913375432</v>
      </c>
      <c r="H222" s="446">
        <f t="shared" si="85"/>
        <v>-679122.04969768284</v>
      </c>
      <c r="I222" s="446">
        <f t="shared" si="85"/>
        <v>-45979.204729636891</v>
      </c>
      <c r="J222" s="446">
        <f t="shared" si="85"/>
        <v>0</v>
      </c>
      <c r="K222" s="446">
        <f t="shared" si="85"/>
        <v>0</v>
      </c>
      <c r="L222" s="446">
        <f t="shared" si="85"/>
        <v>0</v>
      </c>
      <c r="M222" s="446">
        <f t="shared" si="85"/>
        <v>0</v>
      </c>
      <c r="N222" s="446">
        <f t="shared" si="85"/>
        <v>0</v>
      </c>
      <c r="O222" s="446">
        <f t="shared" si="85"/>
        <v>0</v>
      </c>
      <c r="P222" s="446">
        <f t="shared" si="85"/>
        <v>0</v>
      </c>
      <c r="Q222" s="446">
        <f t="shared" si="85"/>
        <v>0</v>
      </c>
      <c r="R222" s="446">
        <f t="shared" si="85"/>
        <v>0</v>
      </c>
      <c r="S222" s="446">
        <f t="shared" si="85"/>
        <v>0</v>
      </c>
      <c r="T222" s="446">
        <f t="shared" si="85"/>
        <v>0</v>
      </c>
      <c r="U222" s="446">
        <f t="shared" si="85"/>
        <v>0</v>
      </c>
      <c r="V222" s="446">
        <f t="shared" si="85"/>
        <v>0</v>
      </c>
      <c r="W222" s="446">
        <f t="shared" si="85"/>
        <v>0</v>
      </c>
      <c r="X222" s="446">
        <f t="shared" si="85"/>
        <v>0</v>
      </c>
      <c r="Y222" s="446">
        <f t="shared" si="85"/>
        <v>0</v>
      </c>
      <c r="Z222" s="446">
        <f t="shared" si="85"/>
        <v>0</v>
      </c>
      <c r="AA222" s="446">
        <f t="shared" si="85"/>
        <v>0</v>
      </c>
      <c r="AB222" s="446">
        <f t="shared" si="85"/>
        <v>0</v>
      </c>
      <c r="AC222" s="446">
        <f t="shared" si="85"/>
        <v>0</v>
      </c>
    </row>
    <row r="223" spans="3:29" ht="15.75">
      <c r="C223" s="427" t="s">
        <v>200</v>
      </c>
      <c r="D223" s="440">
        <f>-SUM(F223:AC223)/1000</f>
        <v>0</v>
      </c>
      <c r="F223" s="446">
        <f t="shared" ref="F223:AC223" si="86">F202*F$187</f>
        <v>0</v>
      </c>
      <c r="G223" s="446">
        <f t="shared" si="86"/>
        <v>0</v>
      </c>
      <c r="H223" s="446">
        <f t="shared" si="86"/>
        <v>0</v>
      </c>
      <c r="I223" s="446">
        <f t="shared" si="86"/>
        <v>0</v>
      </c>
      <c r="J223" s="446">
        <f t="shared" si="86"/>
        <v>0</v>
      </c>
      <c r="K223" s="446">
        <f t="shared" si="86"/>
        <v>0</v>
      </c>
      <c r="L223" s="446">
        <f t="shared" si="86"/>
        <v>0</v>
      </c>
      <c r="M223" s="446">
        <f t="shared" si="86"/>
        <v>0</v>
      </c>
      <c r="N223" s="446">
        <f t="shared" si="86"/>
        <v>0</v>
      </c>
      <c r="O223" s="446">
        <f t="shared" si="86"/>
        <v>0</v>
      </c>
      <c r="P223" s="446">
        <f t="shared" si="86"/>
        <v>0</v>
      </c>
      <c r="Q223" s="446">
        <f t="shared" si="86"/>
        <v>0</v>
      </c>
      <c r="R223" s="446">
        <f t="shared" si="86"/>
        <v>0</v>
      </c>
      <c r="S223" s="446">
        <f t="shared" si="86"/>
        <v>0</v>
      </c>
      <c r="T223" s="446">
        <f t="shared" si="86"/>
        <v>0</v>
      </c>
      <c r="U223" s="446">
        <f t="shared" si="86"/>
        <v>0</v>
      </c>
      <c r="V223" s="446">
        <f t="shared" si="86"/>
        <v>0</v>
      </c>
      <c r="W223" s="446">
        <f t="shared" si="86"/>
        <v>0</v>
      </c>
      <c r="X223" s="446">
        <f t="shared" si="86"/>
        <v>0</v>
      </c>
      <c r="Y223" s="446">
        <f t="shared" si="86"/>
        <v>0</v>
      </c>
      <c r="Z223" s="446">
        <f t="shared" si="86"/>
        <v>0</v>
      </c>
      <c r="AA223" s="446">
        <f t="shared" si="86"/>
        <v>0</v>
      </c>
      <c r="AB223" s="446">
        <f t="shared" si="86"/>
        <v>0</v>
      </c>
      <c r="AC223" s="446">
        <f t="shared" si="86"/>
        <v>0</v>
      </c>
    </row>
    <row r="224" spans="3:29" ht="15.75">
      <c r="C224" s="428" t="s">
        <v>563</v>
      </c>
      <c r="D224" s="440">
        <f>-SUM(F224:AC224)/1000</f>
        <v>142.87961605035719</v>
      </c>
      <c r="F224" s="446">
        <f t="shared" ref="F224:AC224" si="87">F203*F$187</f>
        <v>0</v>
      </c>
      <c r="G224" s="446">
        <f t="shared" si="87"/>
        <v>-142879.61605035717</v>
      </c>
      <c r="H224" s="446">
        <f t="shared" si="87"/>
        <v>0</v>
      </c>
      <c r="I224" s="446">
        <f t="shared" si="87"/>
        <v>0</v>
      </c>
      <c r="J224" s="446">
        <f t="shared" si="87"/>
        <v>0</v>
      </c>
      <c r="K224" s="446">
        <f t="shared" si="87"/>
        <v>0</v>
      </c>
      <c r="L224" s="446">
        <f t="shared" si="87"/>
        <v>0</v>
      </c>
      <c r="M224" s="446">
        <f t="shared" si="87"/>
        <v>0</v>
      </c>
      <c r="N224" s="446">
        <f t="shared" si="87"/>
        <v>0</v>
      </c>
      <c r="O224" s="446">
        <f t="shared" si="87"/>
        <v>0</v>
      </c>
      <c r="P224" s="446">
        <f t="shared" si="87"/>
        <v>0</v>
      </c>
      <c r="Q224" s="446">
        <f t="shared" si="87"/>
        <v>0</v>
      </c>
      <c r="R224" s="446">
        <f t="shared" si="87"/>
        <v>0</v>
      </c>
      <c r="S224" s="446">
        <f t="shared" si="87"/>
        <v>0</v>
      </c>
      <c r="T224" s="446">
        <f t="shared" si="87"/>
        <v>0</v>
      </c>
      <c r="U224" s="446">
        <f t="shared" si="87"/>
        <v>0</v>
      </c>
      <c r="V224" s="446">
        <f t="shared" si="87"/>
        <v>0</v>
      </c>
      <c r="W224" s="446">
        <f t="shared" si="87"/>
        <v>0</v>
      </c>
      <c r="X224" s="446">
        <f t="shared" si="87"/>
        <v>0</v>
      </c>
      <c r="Y224" s="446">
        <f t="shared" si="87"/>
        <v>0</v>
      </c>
      <c r="Z224" s="446">
        <f t="shared" si="87"/>
        <v>0</v>
      </c>
      <c r="AA224" s="446">
        <f t="shared" si="87"/>
        <v>0</v>
      </c>
      <c r="AB224" s="446">
        <f t="shared" si="87"/>
        <v>0</v>
      </c>
      <c r="AC224" s="446">
        <f t="shared" si="87"/>
        <v>0</v>
      </c>
    </row>
    <row r="225" spans="3:29" ht="15.75">
      <c r="C225" s="427" t="s">
        <v>201</v>
      </c>
      <c r="D225" s="440">
        <f>-SUM(F225:AC225)/1000</f>
        <v>231.973552591886</v>
      </c>
      <c r="F225" s="446">
        <f t="shared" ref="F225:AC225" si="88">F204*F$187</f>
        <v>0</v>
      </c>
      <c r="G225" s="446">
        <f t="shared" si="88"/>
        <v>0</v>
      </c>
      <c r="H225" s="446">
        <f t="shared" si="88"/>
        <v>-13694.742039942505</v>
      </c>
      <c r="I225" s="446">
        <f t="shared" si="88"/>
        <v>-13418.981554688098</v>
      </c>
      <c r="J225" s="446">
        <f t="shared" si="88"/>
        <v>-13147.667039980177</v>
      </c>
      <c r="K225" s="446">
        <f t="shared" si="88"/>
        <v>-12880.773444878005</v>
      </c>
      <c r="L225" s="446">
        <f t="shared" si="88"/>
        <v>-12618.27340604064</v>
      </c>
      <c r="M225" s="446">
        <f t="shared" si="88"/>
        <v>-12360.137403681509</v>
      </c>
      <c r="N225" s="446">
        <f t="shared" si="88"/>
        <v>-12106.333910399908</v>
      </c>
      <c r="O225" s="446">
        <f t="shared" si="88"/>
        <v>-11723.396978023351</v>
      </c>
      <c r="P225" s="446">
        <f t="shared" si="88"/>
        <v>-11352.496808679605</v>
      </c>
      <c r="Q225" s="446">
        <f t="shared" si="88"/>
        <v>-10993.257091013895</v>
      </c>
      <c r="R225" s="446">
        <f t="shared" si="88"/>
        <v>-10645.313223497986</v>
      </c>
      <c r="S225" s="446">
        <f t="shared" si="88"/>
        <v>-10308.311951542986</v>
      </c>
      <c r="T225" s="446">
        <f t="shared" si="88"/>
        <v>-9981.9110158172971</v>
      </c>
      <c r="U225" s="446">
        <f t="shared" si="88"/>
        <v>-9665.7788114248706</v>
      </c>
      <c r="V225" s="446">
        <f t="shared" si="88"/>
        <v>-9359.5940576095127</v>
      </c>
      <c r="W225" s="446">
        <f t="shared" si="88"/>
        <v>-9063.0454776611641</v>
      </c>
      <c r="X225" s="446">
        <f t="shared" si="88"/>
        <v>-8775.8314887100423</v>
      </c>
      <c r="Y225" s="446">
        <f t="shared" si="88"/>
        <v>-8497.6599011042745</v>
      </c>
      <c r="Z225" s="446">
        <f t="shared" si="88"/>
        <v>-8228.2476270758489</v>
      </c>
      <c r="AA225" s="446">
        <f t="shared" si="88"/>
        <v>-7967.320398408865</v>
      </c>
      <c r="AB225" s="446">
        <f t="shared" si="88"/>
        <v>-7714.6124928328964</v>
      </c>
      <c r="AC225" s="446">
        <f t="shared" si="88"/>
        <v>-7469.8664688725567</v>
      </c>
    </row>
    <row r="226" spans="3:29" ht="15.75">
      <c r="C226" s="426"/>
      <c r="D226" s="441"/>
      <c r="F226" s="438">
        <f>SUM(F222:F225)</f>
        <v>0</v>
      </c>
      <c r="G226" s="438">
        <f t="shared" ref="G226:AC226" si="89">SUM(G222:G225)</f>
        <v>-237139.20696373261</v>
      </c>
      <c r="H226" s="438">
        <f t="shared" si="89"/>
        <v>-692816.79173762538</v>
      </c>
      <c r="I226" s="438">
        <f t="shared" si="89"/>
        <v>-59398.186284324991</v>
      </c>
      <c r="J226" s="438">
        <f t="shared" si="89"/>
        <v>-13147.667039980177</v>
      </c>
      <c r="K226" s="438">
        <f t="shared" si="89"/>
        <v>-12880.773444878005</v>
      </c>
      <c r="L226" s="438">
        <f t="shared" si="89"/>
        <v>-12618.27340604064</v>
      </c>
      <c r="M226" s="438">
        <f t="shared" si="89"/>
        <v>-12360.137403681509</v>
      </c>
      <c r="N226" s="438">
        <f t="shared" si="89"/>
        <v>-12106.333910399908</v>
      </c>
      <c r="O226" s="438">
        <f t="shared" si="89"/>
        <v>-11723.396978023351</v>
      </c>
      <c r="P226" s="438">
        <f t="shared" si="89"/>
        <v>-11352.496808679605</v>
      </c>
      <c r="Q226" s="438">
        <f t="shared" si="89"/>
        <v>-10993.257091013895</v>
      </c>
      <c r="R226" s="438">
        <f t="shared" si="89"/>
        <v>-10645.313223497986</v>
      </c>
      <c r="S226" s="438">
        <f t="shared" si="89"/>
        <v>-10308.311951542986</v>
      </c>
      <c r="T226" s="438">
        <f t="shared" si="89"/>
        <v>-9981.9110158172971</v>
      </c>
      <c r="U226" s="438">
        <f t="shared" si="89"/>
        <v>-9665.7788114248706</v>
      </c>
      <c r="V226" s="438">
        <f t="shared" si="89"/>
        <v>-9359.5940576095127</v>
      </c>
      <c r="W226" s="438">
        <f t="shared" si="89"/>
        <v>-9063.0454776611641</v>
      </c>
      <c r="X226" s="438">
        <f t="shared" si="89"/>
        <v>-8775.8314887100423</v>
      </c>
      <c r="Y226" s="438">
        <f t="shared" si="89"/>
        <v>-8497.6599011042745</v>
      </c>
      <c r="Z226" s="438">
        <f t="shared" si="89"/>
        <v>-8228.2476270758489</v>
      </c>
      <c r="AA226" s="438">
        <f t="shared" si="89"/>
        <v>-7967.320398408865</v>
      </c>
      <c r="AB226" s="438">
        <f t="shared" si="89"/>
        <v>-7714.6124928328964</v>
      </c>
      <c r="AC226" s="438">
        <f t="shared" si="89"/>
        <v>-7469.8664688725567</v>
      </c>
    </row>
    <row r="227" spans="3:29" ht="15.75">
      <c r="C227" s="425" t="s">
        <v>0</v>
      </c>
      <c r="D227" s="442">
        <f>SUM(D228:D234)</f>
        <v>3226.2821013742214</v>
      </c>
      <c r="F227" s="430"/>
      <c r="G227" s="430"/>
      <c r="H227" s="430"/>
      <c r="I227" s="430"/>
      <c r="J227" s="430"/>
      <c r="K227" s="430"/>
      <c r="L227" s="430"/>
      <c r="M227" s="430"/>
      <c r="N227" s="430"/>
      <c r="O227" s="430"/>
      <c r="P227" s="430"/>
      <c r="Q227" s="430"/>
      <c r="R227" s="430"/>
      <c r="S227" s="430"/>
      <c r="T227" s="430"/>
      <c r="U227" s="430"/>
      <c r="V227" s="430"/>
      <c r="W227" s="430"/>
      <c r="X227" s="430"/>
      <c r="Y227" s="430"/>
      <c r="Z227" s="430"/>
      <c r="AA227" s="430"/>
      <c r="AB227" s="430"/>
      <c r="AC227" s="430"/>
    </row>
    <row r="228" spans="3:29" ht="15.75">
      <c r="C228" s="427" t="s">
        <v>599</v>
      </c>
      <c r="D228" s="440">
        <f t="shared" ref="D228:D234" si="90">SUM(F228:AC228)/1000</f>
        <v>153.93621043758986</v>
      </c>
      <c r="F228" s="448">
        <f t="shared" ref="F228:AC228" si="91">F207*F$187</f>
        <v>0</v>
      </c>
      <c r="G228" s="448">
        <f t="shared" si="91"/>
        <v>0</v>
      </c>
      <c r="H228" s="448">
        <f t="shared" si="91"/>
        <v>8165.2029012404582</v>
      </c>
      <c r="I228" s="448">
        <f t="shared" si="91"/>
        <v>8093.524097311798</v>
      </c>
      <c r="J228" s="448">
        <f t="shared" si="91"/>
        <v>8021.3752604911133</v>
      </c>
      <c r="K228" s="448">
        <f t="shared" si="91"/>
        <v>7948.8012192782217</v>
      </c>
      <c r="L228" s="448">
        <f t="shared" si="91"/>
        <v>7875.845492623992</v>
      </c>
      <c r="M228" s="448">
        <f t="shared" si="91"/>
        <v>7802.5503085669325</v>
      </c>
      <c r="N228" s="448">
        <f t="shared" si="91"/>
        <v>7728.9566233363803</v>
      </c>
      <c r="O228" s="448">
        <f t="shared" si="91"/>
        <v>7568.9563133584707</v>
      </c>
      <c r="P228" s="448">
        <f t="shared" si="91"/>
        <v>7411.8738536260207</v>
      </c>
      <c r="Q228" s="448">
        <f t="shared" si="91"/>
        <v>7257.6721088402755</v>
      </c>
      <c r="R228" s="448">
        <f t="shared" si="91"/>
        <v>7106.3136916207459</v>
      </c>
      <c r="S228" s="448">
        <f t="shared" si="91"/>
        <v>6957.7610073953283</v>
      </c>
      <c r="T228" s="448">
        <f t="shared" si="91"/>
        <v>6811.9762969182866</v>
      </c>
      <c r="U228" s="448">
        <f t="shared" si="91"/>
        <v>6668.9216765156971</v>
      </c>
      <c r="V228" s="448">
        <f t="shared" si="91"/>
        <v>6528.5591761539281</v>
      </c>
      <c r="W228" s="448">
        <f t="shared" si="91"/>
        <v>6390.8507754232633</v>
      </c>
      <c r="X228" s="448">
        <f t="shared" si="91"/>
        <v>6255.758437525139</v>
      </c>
      <c r="Y228" s="448">
        <f t="shared" si="91"/>
        <v>6123.2441413481693</v>
      </c>
      <c r="Z228" s="448">
        <f t="shared" si="91"/>
        <v>5993.269911714885</v>
      </c>
      <c r="AA228" s="448">
        <f t="shared" si="91"/>
        <v>5865.797847877956</v>
      </c>
      <c r="AB228" s="448">
        <f t="shared" si="91"/>
        <v>5740.7901503416233</v>
      </c>
      <c r="AC228" s="448">
        <f t="shared" si="91"/>
        <v>5618.2091460811689</v>
      </c>
    </row>
    <row r="229" spans="3:29" ht="15.75">
      <c r="C229" s="427" t="s">
        <v>600</v>
      </c>
      <c r="D229" s="440">
        <f t="shared" si="90"/>
        <v>650.3892532073088</v>
      </c>
      <c r="F229" s="446">
        <f t="shared" ref="F229:AC229" si="92">F208*F$187</f>
        <v>0</v>
      </c>
      <c r="G229" s="446">
        <f t="shared" si="92"/>
        <v>0</v>
      </c>
      <c r="H229" s="446">
        <f t="shared" si="92"/>
        <v>38396.243660996071</v>
      </c>
      <c r="I229" s="446">
        <f t="shared" si="92"/>
        <v>37623.088040173054</v>
      </c>
      <c r="J229" s="446">
        <f t="shared" si="92"/>
        <v>36862.39768287343</v>
      </c>
      <c r="K229" s="446">
        <f t="shared" si="92"/>
        <v>36114.102353234251</v>
      </c>
      <c r="L229" s="446">
        <f t="shared" si="92"/>
        <v>35378.125332066302</v>
      </c>
      <c r="M229" s="446">
        <f t="shared" si="92"/>
        <v>34654.383854107196</v>
      </c>
      <c r="N229" s="446">
        <f t="shared" si="92"/>
        <v>33942.789525303524</v>
      </c>
      <c r="O229" s="446">
        <f t="shared" si="92"/>
        <v>32869.140987825383</v>
      </c>
      <c r="P229" s="446">
        <f t="shared" si="92"/>
        <v>31829.240182502377</v>
      </c>
      <c r="Q229" s="446">
        <f t="shared" si="92"/>
        <v>30822.032037071833</v>
      </c>
      <c r="R229" s="446">
        <f t="shared" si="92"/>
        <v>29846.494310364411</v>
      </c>
      <c r="S229" s="446">
        <f t="shared" si="92"/>
        <v>28901.636574869299</v>
      </c>
      <c r="T229" s="446">
        <f t="shared" si="92"/>
        <v>27986.499230715766</v>
      </c>
      <c r="U229" s="446">
        <f t="shared" si="92"/>
        <v>27100.152550103856</v>
      </c>
      <c r="V229" s="446">
        <f t="shared" si="92"/>
        <v>26241.695751247215</v>
      </c>
      <c r="W229" s="446">
        <f t="shared" si="92"/>
        <v>25410.256100919414</v>
      </c>
      <c r="X229" s="446">
        <f t="shared" si="92"/>
        <v>24604.988044723141</v>
      </c>
      <c r="Y229" s="446">
        <f t="shared" si="92"/>
        <v>23825.072364228734</v>
      </c>
      <c r="Z229" s="446">
        <f t="shared" si="92"/>
        <v>23069.715360154631</v>
      </c>
      <c r="AA229" s="446">
        <f t="shared" si="92"/>
        <v>22338.148060787822</v>
      </c>
      <c r="AB229" s="446">
        <f t="shared" si="92"/>
        <v>21629.625454866891</v>
      </c>
      <c r="AC229" s="446">
        <f t="shared" si="92"/>
        <v>20943.425748174166</v>
      </c>
    </row>
    <row r="230" spans="3:29" ht="15.75">
      <c r="C230" s="427" t="s">
        <v>202</v>
      </c>
      <c r="D230" s="440">
        <f t="shared" si="90"/>
        <v>13.584586919091837</v>
      </c>
      <c r="F230" s="446">
        <f t="shared" ref="F230:AC230" si="93">F209*F$187</f>
        <v>0</v>
      </c>
      <c r="G230" s="446">
        <f t="shared" si="93"/>
        <v>0</v>
      </c>
      <c r="H230" s="446">
        <f t="shared" si="93"/>
        <v>494.46250656432773</v>
      </c>
      <c r="I230" s="446">
        <f t="shared" si="93"/>
        <v>515.41843062019473</v>
      </c>
      <c r="J230" s="446">
        <f t="shared" si="93"/>
        <v>535.49459772300224</v>
      </c>
      <c r="K230" s="446">
        <f t="shared" si="93"/>
        <v>554.71002491593595</v>
      </c>
      <c r="L230" s="446">
        <f t="shared" si="93"/>
        <v>573.08366880769006</v>
      </c>
      <c r="M230" s="446">
        <f t="shared" si="93"/>
        <v>590.63440642070566</v>
      </c>
      <c r="N230" s="446">
        <f t="shared" si="93"/>
        <v>607.38101735337216</v>
      </c>
      <c r="O230" s="446">
        <f t="shared" si="93"/>
        <v>616.32729547933343</v>
      </c>
      <c r="P230" s="446">
        <f t="shared" si="93"/>
        <v>624.28856729567906</v>
      </c>
      <c r="Q230" s="446">
        <f t="shared" si="93"/>
        <v>631.31365652018724</v>
      </c>
      <c r="R230" s="446">
        <f t="shared" si="93"/>
        <v>637.44939839231733</v>
      </c>
      <c r="S230" s="446">
        <f t="shared" si="93"/>
        <v>642.74071365545103</v>
      </c>
      <c r="T230" s="446">
        <f t="shared" si="93"/>
        <v>647.23067992607264</v>
      </c>
      <c r="U230" s="446">
        <f t="shared" si="93"/>
        <v>650.96060053914346</v>
      </c>
      <c r="V230" s="446">
        <f t="shared" si="93"/>
        <v>653.97007095590118</v>
      </c>
      <c r="W230" s="446">
        <f t="shared" si="93"/>
        <v>656.2970428174782</v>
      </c>
      <c r="X230" s="446">
        <f t="shared" si="93"/>
        <v>657.97788572492925</v>
      </c>
      <c r="Y230" s="446">
        <f t="shared" si="93"/>
        <v>659.04744682357136</v>
      </c>
      <c r="Z230" s="446">
        <f t="shared" si="93"/>
        <v>659.53910826691686</v>
      </c>
      <c r="AA230" s="446">
        <f t="shared" si="93"/>
        <v>659.48484263300406</v>
      </c>
      <c r="AB230" s="446">
        <f t="shared" si="93"/>
        <v>658.91526636344224</v>
      </c>
      <c r="AC230" s="446">
        <f t="shared" si="93"/>
        <v>657.85969129317664</v>
      </c>
    </row>
    <row r="231" spans="3:29" ht="15.75">
      <c r="C231" s="427" t="s">
        <v>203</v>
      </c>
      <c r="D231" s="440">
        <f t="shared" si="90"/>
        <v>1094.1331081117189</v>
      </c>
      <c r="F231" s="446">
        <f t="shared" ref="F231:AC231" si="94">F210*F$187</f>
        <v>0</v>
      </c>
      <c r="G231" s="446">
        <f t="shared" si="94"/>
        <v>0</v>
      </c>
      <c r="H231" s="446">
        <f t="shared" si="94"/>
        <v>64593.012891050676</v>
      </c>
      <c r="I231" s="446">
        <f t="shared" si="94"/>
        <v>63292.353081108398</v>
      </c>
      <c r="J231" s="446">
        <f t="shared" si="94"/>
        <v>62012.663263297771</v>
      </c>
      <c r="K231" s="446">
        <f t="shared" si="94"/>
        <v>60753.825281633508</v>
      </c>
      <c r="L231" s="446">
        <f t="shared" si="94"/>
        <v>59515.7100733974</v>
      </c>
      <c r="M231" s="446">
        <f t="shared" si="94"/>
        <v>58298.178404717793</v>
      </c>
      <c r="N231" s="446">
        <f t="shared" si="94"/>
        <v>57101.081572552801</v>
      </c>
      <c r="O231" s="446">
        <f t="shared" si="94"/>
        <v>55294.91025970038</v>
      </c>
      <c r="P231" s="446">
        <f t="shared" si="94"/>
        <v>53545.511888424895</v>
      </c>
      <c r="Q231" s="446">
        <f t="shared" si="94"/>
        <v>51851.11153780271</v>
      </c>
      <c r="R231" s="446">
        <f t="shared" si="94"/>
        <v>50209.989517813854</v>
      </c>
      <c r="S231" s="446">
        <f t="shared" si="94"/>
        <v>48620.479657737582</v>
      </c>
      <c r="T231" s="446">
        <f t="shared" si="94"/>
        <v>47080.967647398953</v>
      </c>
      <c r="U231" s="446">
        <f t="shared" si="94"/>
        <v>45589.889429639261</v>
      </c>
      <c r="V231" s="446">
        <f t="shared" si="94"/>
        <v>44145.729642433696</v>
      </c>
      <c r="W231" s="446">
        <f t="shared" si="94"/>
        <v>42747.020109128236</v>
      </c>
      <c r="X231" s="446">
        <f t="shared" si="94"/>
        <v>41392.33837531387</v>
      </c>
      <c r="Y231" s="446">
        <f t="shared" si="94"/>
        <v>40080.306290902387</v>
      </c>
      <c r="Z231" s="446">
        <f t="shared" si="94"/>
        <v>38809.588636011918</v>
      </c>
      <c r="AA231" s="446">
        <f t="shared" si="94"/>
        <v>37578.891789312984</v>
      </c>
      <c r="AB231" s="446">
        <f t="shared" si="94"/>
        <v>36386.962437527443</v>
      </c>
      <c r="AC231" s="446">
        <f t="shared" si="94"/>
        <v>35232.586324812437</v>
      </c>
    </row>
    <row r="232" spans="3:29" ht="15.75">
      <c r="C232" s="427" t="s">
        <v>204</v>
      </c>
      <c r="D232" s="440">
        <f t="shared" si="90"/>
        <v>157.77897178658972</v>
      </c>
      <c r="F232" s="446">
        <f t="shared" ref="F232:AC232" si="95">F211*F$187</f>
        <v>0</v>
      </c>
      <c r="G232" s="446">
        <f t="shared" si="95"/>
        <v>0</v>
      </c>
      <c r="H232" s="446">
        <f t="shared" si="95"/>
        <v>11867.043853487259</v>
      </c>
      <c r="I232" s="446">
        <f t="shared" si="95"/>
        <v>11160.889158697824</v>
      </c>
      <c r="J232" s="446">
        <f t="shared" si="95"/>
        <v>10588.0453558511</v>
      </c>
      <c r="K232" s="446">
        <f t="shared" si="95"/>
        <v>9965.5369883263593</v>
      </c>
      <c r="L232" s="446">
        <f t="shared" si="95"/>
        <v>9334.0220978198158</v>
      </c>
      <c r="M232" s="446">
        <f t="shared" si="95"/>
        <v>8728.3433067123169</v>
      </c>
      <c r="N232" s="446">
        <f t="shared" si="95"/>
        <v>8147.42997473176</v>
      </c>
      <c r="O232" s="446">
        <f t="shared" si="95"/>
        <v>7606.4974246325328</v>
      </c>
      <c r="P232" s="446">
        <f t="shared" si="95"/>
        <v>7311.5979641634476</v>
      </c>
      <c r="Q232" s="446">
        <f t="shared" si="95"/>
        <v>7027.690183679224</v>
      </c>
      <c r="R232" s="446">
        <f t="shared" si="95"/>
        <v>6754.3760441309696</v>
      </c>
      <c r="S232" s="446">
        <f t="shared" si="95"/>
        <v>6491.2716023225248</v>
      </c>
      <c r="T232" s="446">
        <f t="shared" si="95"/>
        <v>6238.0065205995679</v>
      </c>
      <c r="U232" s="446">
        <f t="shared" si="95"/>
        <v>5994.2235933435368</v>
      </c>
      <c r="V232" s="446">
        <f t="shared" si="95"/>
        <v>5759.5782897015615</v>
      </c>
      <c r="W232" s="446">
        <f t="shared" si="95"/>
        <v>5533.738312002577</v>
      </c>
      <c r="X232" s="446">
        <f t="shared" si="95"/>
        <v>5316.3831693282073</v>
      </c>
      <c r="Y232" s="446">
        <f t="shared" si="95"/>
        <v>5107.203765724913</v>
      </c>
      <c r="Z232" s="446">
        <f t="shared" si="95"/>
        <v>4943.9179254484461</v>
      </c>
      <c r="AA232" s="446">
        <f t="shared" si="95"/>
        <v>4785.8276108423079</v>
      </c>
      <c r="AB232" s="446">
        <f t="shared" si="95"/>
        <v>4632.7682362011865</v>
      </c>
      <c r="AC232" s="446">
        <f t="shared" si="95"/>
        <v>4484.580408842281</v>
      </c>
    </row>
    <row r="233" spans="3:29" ht="15.75">
      <c r="C233" s="427" t="s">
        <v>601</v>
      </c>
      <c r="D233" s="440">
        <f t="shared" si="90"/>
        <v>3.6350495184439217E-2</v>
      </c>
      <c r="F233" s="446">
        <f t="shared" ref="F233:AC233" si="96">F212*F$187</f>
        <v>0</v>
      </c>
      <c r="G233" s="446">
        <f t="shared" si="96"/>
        <v>0</v>
      </c>
      <c r="H233" s="446">
        <f t="shared" si="96"/>
        <v>2.1459802163347126</v>
      </c>
      <c r="I233" s="446">
        <f t="shared" si="96"/>
        <v>2.1027682635957108</v>
      </c>
      <c r="J233" s="446">
        <f t="shared" si="96"/>
        <v>2.0602529990314364</v>
      </c>
      <c r="K233" s="446">
        <f t="shared" si="96"/>
        <v>2.0184304971336124</v>
      </c>
      <c r="L233" s="446">
        <f t="shared" si="96"/>
        <v>1.9772964700384621</v>
      </c>
      <c r="M233" s="446">
        <f t="shared" si="96"/>
        <v>1.9368462919649538</v>
      </c>
      <c r="N233" s="446">
        <f t="shared" si="96"/>
        <v>1.8970750225368491</v>
      </c>
      <c r="O233" s="446">
        <f t="shared" si="96"/>
        <v>1.8370684098830896</v>
      </c>
      <c r="P233" s="446">
        <f t="shared" si="96"/>
        <v>1.7789479704235216</v>
      </c>
      <c r="Q233" s="446">
        <f t="shared" si="96"/>
        <v>1.7226547357803428</v>
      </c>
      <c r="R233" s="446">
        <f t="shared" si="96"/>
        <v>1.6681315725176593</v>
      </c>
      <c r="S233" s="446">
        <f t="shared" si="96"/>
        <v>1.6153231252766849</v>
      </c>
      <c r="T233" s="446">
        <f t="shared" si="96"/>
        <v>1.5641757616668033</v>
      </c>
      <c r="U233" s="446">
        <f t="shared" si="96"/>
        <v>1.5146375188584502</v>
      </c>
      <c r="V233" s="446">
        <f t="shared" si="96"/>
        <v>1.4666580518254351</v>
      </c>
      <c r="W233" s="446">
        <f t="shared" si="96"/>
        <v>1.4201885831859231</v>
      </c>
      <c r="X233" s="446">
        <f t="shared" si="96"/>
        <v>1.3751818545928616</v>
      </c>
      <c r="Y233" s="446">
        <f t="shared" si="96"/>
        <v>1.3315920796261402</v>
      </c>
      <c r="Z233" s="446">
        <f t="shared" si="96"/>
        <v>1.289374898140246</v>
      </c>
      <c r="AA233" s="446">
        <f t="shared" si="96"/>
        <v>1.2484873320225907</v>
      </c>
      <c r="AB233" s="446">
        <f t="shared" si="96"/>
        <v>1.2088877423190603</v>
      </c>
      <c r="AC233" s="446">
        <f t="shared" si="96"/>
        <v>1.1705357876846763</v>
      </c>
    </row>
    <row r="234" spans="3:29" ht="15.75">
      <c r="C234" s="427" t="s">
        <v>205</v>
      </c>
      <c r="D234" s="440">
        <f t="shared" si="90"/>
        <v>1156.4236204167378</v>
      </c>
      <c r="F234" s="446">
        <f t="shared" ref="F234:AC234" si="97">F213*F$187</f>
        <v>0</v>
      </c>
      <c r="G234" s="446">
        <f t="shared" si="97"/>
        <v>0</v>
      </c>
      <c r="H234" s="446">
        <f t="shared" si="97"/>
        <v>68270.382522294312</v>
      </c>
      <c r="I234" s="446">
        <f t="shared" si="97"/>
        <v>66895.674349044857</v>
      </c>
      <c r="J234" s="446">
        <f t="shared" si="97"/>
        <v>65543.130018605036</v>
      </c>
      <c r="K234" s="446">
        <f t="shared" si="97"/>
        <v>64212.624648205783</v>
      </c>
      <c r="L234" s="446">
        <f t="shared" si="97"/>
        <v>62904.021827409655</v>
      </c>
      <c r="M234" s="446">
        <f t="shared" si="97"/>
        <v>61617.174395567992</v>
      </c>
      <c r="N234" s="446">
        <f t="shared" si="97"/>
        <v>60351.925183768915</v>
      </c>
      <c r="O234" s="446">
        <f t="shared" si="97"/>
        <v>58442.926038037549</v>
      </c>
      <c r="P234" s="446">
        <f t="shared" si="97"/>
        <v>56593.931996030209</v>
      </c>
      <c r="Q234" s="446">
        <f t="shared" si="97"/>
        <v>54803.067088118281</v>
      </c>
      <c r="R234" s="446">
        <f t="shared" si="97"/>
        <v>53068.513719948576</v>
      </c>
      <c r="S234" s="446">
        <f t="shared" si="97"/>
        <v>51388.510863395015</v>
      </c>
      <c r="T234" s="446">
        <f t="shared" si="97"/>
        <v>49761.352303369946</v>
      </c>
      <c r="U234" s="446">
        <f t="shared" si="97"/>
        <v>48185.384938775627</v>
      </c>
      <c r="V234" s="446">
        <f t="shared" si="97"/>
        <v>46659.007135929729</v>
      </c>
      <c r="W234" s="446">
        <f t="shared" si="97"/>
        <v>45180.667132849107</v>
      </c>
      <c r="X234" s="446">
        <f t="shared" si="97"/>
        <v>43748.861492826305</v>
      </c>
      <c r="Y234" s="446">
        <f t="shared" si="97"/>
        <v>42362.133605781019</v>
      </c>
      <c r="Z234" s="446">
        <f t="shared" si="97"/>
        <v>41019.072235915359</v>
      </c>
      <c r="AA234" s="446">
        <f t="shared" si="97"/>
        <v>39718.310114246975</v>
      </c>
      <c r="AB234" s="446">
        <f t="shared" si="97"/>
        <v>38458.522574637951</v>
      </c>
      <c r="AC234" s="446">
        <f t="shared" si="97"/>
        <v>37238.42623197964</v>
      </c>
    </row>
    <row r="235" spans="3:29" ht="15.75">
      <c r="C235" s="426"/>
      <c r="D235" s="441"/>
      <c r="F235" s="437">
        <f>SUM(F228:F234)</f>
        <v>0</v>
      </c>
      <c r="G235" s="437">
        <f t="shared" ref="G235:AC235" si="98">SUM(G228:G234)</f>
        <v>0</v>
      </c>
      <c r="H235" s="437">
        <f t="shared" si="98"/>
        <v>191788.49431584944</v>
      </c>
      <c r="I235" s="437">
        <f t="shared" si="98"/>
        <v>187583.04992521973</v>
      </c>
      <c r="J235" s="437">
        <f t="shared" si="98"/>
        <v>183565.16643184045</v>
      </c>
      <c r="K235" s="437">
        <f t="shared" si="98"/>
        <v>179551.61894609118</v>
      </c>
      <c r="L235" s="437">
        <f t="shared" si="98"/>
        <v>175582.78578859489</v>
      </c>
      <c r="M235" s="437">
        <f t="shared" si="98"/>
        <v>171693.20152238492</v>
      </c>
      <c r="N235" s="437">
        <f t="shared" si="98"/>
        <v>167881.4609720693</v>
      </c>
      <c r="O235" s="437">
        <f t="shared" si="98"/>
        <v>162400.59538744352</v>
      </c>
      <c r="P235" s="437">
        <f t="shared" si="98"/>
        <v>157318.22340001306</v>
      </c>
      <c r="Q235" s="437">
        <f t="shared" si="98"/>
        <v>152394.6092667683</v>
      </c>
      <c r="R235" s="437">
        <f t="shared" si="98"/>
        <v>147624.8048138434</v>
      </c>
      <c r="S235" s="437">
        <f t="shared" si="98"/>
        <v>143004.01574250049</v>
      </c>
      <c r="T235" s="437">
        <f t="shared" si="98"/>
        <v>138527.59685469026</v>
      </c>
      <c r="U235" s="437">
        <f t="shared" si="98"/>
        <v>134191.04742643601</v>
      </c>
      <c r="V235" s="437">
        <f t="shared" si="98"/>
        <v>129990.00672447385</v>
      </c>
      <c r="W235" s="437">
        <f t="shared" si="98"/>
        <v>125920.24966172327</v>
      </c>
      <c r="X235" s="437">
        <f t="shared" si="98"/>
        <v>121977.68258729618</v>
      </c>
      <c r="Y235" s="437">
        <f t="shared" si="98"/>
        <v>118158.33920688843</v>
      </c>
      <c r="Z235" s="437">
        <f t="shared" si="98"/>
        <v>114496.3925524103</v>
      </c>
      <c r="AA235" s="437">
        <f t="shared" si="98"/>
        <v>110947.70875303305</v>
      </c>
      <c r="AB235" s="437">
        <f t="shared" si="98"/>
        <v>107508.79300768086</v>
      </c>
      <c r="AC235" s="437">
        <f t="shared" si="98"/>
        <v>104176.25808697056</v>
      </c>
    </row>
    <row r="236" spans="3:29" ht="15.75">
      <c r="C236" s="425" t="s">
        <v>184</v>
      </c>
      <c r="D236" s="442">
        <f>NPV(0.03,F216:AC216)/1000</f>
        <v>2032.0680873912825</v>
      </c>
    </row>
    <row r="237" spans="3:29" ht="15.75">
      <c r="C237" s="425" t="s">
        <v>185</v>
      </c>
      <c r="D237" s="443">
        <f>IRR(F237:AC237)</f>
        <v>0.18346566219723701</v>
      </c>
      <c r="F237" s="430">
        <f>F226+F235</f>
        <v>0</v>
      </c>
      <c r="G237" s="430">
        <f t="shared" ref="G237:AC237" si="99">G226+G235</f>
        <v>-237139.20696373261</v>
      </c>
      <c r="H237" s="430">
        <f t="shared" si="99"/>
        <v>-501028.29742177593</v>
      </c>
      <c r="I237" s="430">
        <f t="shared" si="99"/>
        <v>128184.86364089473</v>
      </c>
      <c r="J237" s="430">
        <f t="shared" si="99"/>
        <v>170417.49939186027</v>
      </c>
      <c r="K237" s="430">
        <f t="shared" si="99"/>
        <v>166670.84550121319</v>
      </c>
      <c r="L237" s="430">
        <f t="shared" si="99"/>
        <v>162964.51238255424</v>
      </c>
      <c r="M237" s="430">
        <f t="shared" si="99"/>
        <v>159333.06411870342</v>
      </c>
      <c r="N237" s="430">
        <f t="shared" si="99"/>
        <v>155775.12706166939</v>
      </c>
      <c r="O237" s="430">
        <f t="shared" si="99"/>
        <v>150677.19840942018</v>
      </c>
      <c r="P237" s="430">
        <f t="shared" si="99"/>
        <v>145965.72659133346</v>
      </c>
      <c r="Q237" s="430">
        <f t="shared" si="99"/>
        <v>141401.35217575441</v>
      </c>
      <c r="R237" s="430">
        <f t="shared" si="99"/>
        <v>136979.49159034539</v>
      </c>
      <c r="S237" s="430">
        <f t="shared" si="99"/>
        <v>132695.70379095752</v>
      </c>
      <c r="T237" s="430">
        <f t="shared" si="99"/>
        <v>128545.68583887296</v>
      </c>
      <c r="U237" s="430">
        <f t="shared" si="99"/>
        <v>124525.26861501114</v>
      </c>
      <c r="V237" s="430">
        <f t="shared" si="99"/>
        <v>120630.41266686433</v>
      </c>
      <c r="W237" s="430">
        <f t="shared" si="99"/>
        <v>116857.20418406211</v>
      </c>
      <c r="X237" s="430">
        <f t="shared" si="99"/>
        <v>113201.85109858614</v>
      </c>
      <c r="Y237" s="430">
        <f t="shared" si="99"/>
        <v>109660.67930578416</v>
      </c>
      <c r="Z237" s="430">
        <f t="shared" si="99"/>
        <v>106268.14492533445</v>
      </c>
      <c r="AA237" s="430">
        <f t="shared" si="99"/>
        <v>102980.38835462419</v>
      </c>
      <c r="AB237" s="430">
        <f t="shared" si="99"/>
        <v>99794.180514847962</v>
      </c>
      <c r="AC237" s="430">
        <f t="shared" si="99"/>
        <v>96706.391618098001</v>
      </c>
    </row>
    <row r="238" spans="3:29" ht="15.75">
      <c r="C238" s="425" t="s">
        <v>186</v>
      </c>
      <c r="D238" s="444">
        <f>SUM(D228:D234)/SUM(D222:D225)</f>
        <v>2.7015945748400125</v>
      </c>
    </row>
    <row r="241" spans="3:29" ht="14.25">
      <c r="C241" s="436" t="s">
        <v>619</v>
      </c>
      <c r="D241" s="39"/>
      <c r="E241" s="39"/>
    </row>
    <row r="242" spans="3:29" ht="15.75">
      <c r="C242" s="425" t="s">
        <v>1</v>
      </c>
      <c r="D242" s="442">
        <f>SUM(D243:D246)</f>
        <v>1014.104137234682</v>
      </c>
      <c r="E242" s="39"/>
      <c r="F242" s="39"/>
    </row>
    <row r="243" spans="3:29" ht="15.75">
      <c r="C243" s="427" t="s">
        <v>199</v>
      </c>
      <c r="D243" s="440">
        <f>-SUM(F243:AC243)/1000</f>
        <v>732.59427300209722</v>
      </c>
      <c r="E243" s="39"/>
      <c r="F243" s="430">
        <f>F201*F$189</f>
        <v>0</v>
      </c>
      <c r="G243" s="430">
        <f t="shared" ref="G243:AC243" si="100">G201*G$189</f>
        <v>-87343.87282732116</v>
      </c>
      <c r="H243" s="430">
        <f t="shared" si="100"/>
        <v>-605770.57295131672</v>
      </c>
      <c r="I243" s="430">
        <f t="shared" si="100"/>
        <v>-39479.827223459426</v>
      </c>
      <c r="J243" s="430">
        <f t="shared" si="100"/>
        <v>0</v>
      </c>
      <c r="K243" s="430">
        <f t="shared" si="100"/>
        <v>0</v>
      </c>
      <c r="L243" s="430">
        <f t="shared" si="100"/>
        <v>0</v>
      </c>
      <c r="M243" s="430">
        <f t="shared" si="100"/>
        <v>0</v>
      </c>
      <c r="N243" s="430">
        <f t="shared" si="100"/>
        <v>0</v>
      </c>
      <c r="O243" s="430">
        <f t="shared" si="100"/>
        <v>0</v>
      </c>
      <c r="P243" s="430">
        <f t="shared" si="100"/>
        <v>0</v>
      </c>
      <c r="Q243" s="430">
        <f t="shared" si="100"/>
        <v>0</v>
      </c>
      <c r="R243" s="430">
        <f t="shared" si="100"/>
        <v>0</v>
      </c>
      <c r="S243" s="430">
        <f t="shared" si="100"/>
        <v>0</v>
      </c>
      <c r="T243" s="430">
        <f t="shared" si="100"/>
        <v>0</v>
      </c>
      <c r="U243" s="430">
        <f t="shared" si="100"/>
        <v>0</v>
      </c>
      <c r="V243" s="430">
        <f t="shared" si="100"/>
        <v>0</v>
      </c>
      <c r="W243" s="430">
        <f t="shared" si="100"/>
        <v>0</v>
      </c>
      <c r="X243" s="430">
        <f t="shared" si="100"/>
        <v>0</v>
      </c>
      <c r="Y243" s="430">
        <f t="shared" si="100"/>
        <v>0</v>
      </c>
      <c r="Z243" s="430">
        <f t="shared" si="100"/>
        <v>0</v>
      </c>
      <c r="AA243" s="430">
        <f t="shared" si="100"/>
        <v>0</v>
      </c>
      <c r="AB243" s="430">
        <f t="shared" si="100"/>
        <v>0</v>
      </c>
      <c r="AC243" s="430">
        <f t="shared" si="100"/>
        <v>0</v>
      </c>
    </row>
    <row r="244" spans="3:29" ht="15.75">
      <c r="C244" s="427" t="s">
        <v>200</v>
      </c>
      <c r="D244" s="440">
        <f>-SUM(F244:AC244)/1000</f>
        <v>0</v>
      </c>
      <c r="F244" s="430">
        <f t="shared" ref="F244:AC244" si="101">F202*F$189</f>
        <v>0</v>
      </c>
      <c r="G244" s="430">
        <f t="shared" si="101"/>
        <v>0</v>
      </c>
      <c r="H244" s="430">
        <f t="shared" si="101"/>
        <v>0</v>
      </c>
      <c r="I244" s="430">
        <f t="shared" si="101"/>
        <v>0</v>
      </c>
      <c r="J244" s="430">
        <f t="shared" si="101"/>
        <v>0</v>
      </c>
      <c r="K244" s="430">
        <f t="shared" si="101"/>
        <v>0</v>
      </c>
      <c r="L244" s="430">
        <f t="shared" si="101"/>
        <v>0</v>
      </c>
      <c r="M244" s="430">
        <f t="shared" si="101"/>
        <v>0</v>
      </c>
      <c r="N244" s="430">
        <f t="shared" si="101"/>
        <v>0</v>
      </c>
      <c r="O244" s="430">
        <f t="shared" si="101"/>
        <v>0</v>
      </c>
      <c r="P244" s="430">
        <f t="shared" si="101"/>
        <v>0</v>
      </c>
      <c r="Q244" s="430">
        <f t="shared" si="101"/>
        <v>0</v>
      </c>
      <c r="R244" s="430">
        <f t="shared" si="101"/>
        <v>0</v>
      </c>
      <c r="S244" s="430">
        <f t="shared" si="101"/>
        <v>0</v>
      </c>
      <c r="T244" s="430">
        <f t="shared" si="101"/>
        <v>0</v>
      </c>
      <c r="U244" s="430">
        <f t="shared" si="101"/>
        <v>0</v>
      </c>
      <c r="V244" s="430">
        <f t="shared" si="101"/>
        <v>0</v>
      </c>
      <c r="W244" s="430">
        <f t="shared" si="101"/>
        <v>0</v>
      </c>
      <c r="X244" s="430">
        <f t="shared" si="101"/>
        <v>0</v>
      </c>
      <c r="Y244" s="430">
        <f t="shared" si="101"/>
        <v>0</v>
      </c>
      <c r="Z244" s="430">
        <f t="shared" si="101"/>
        <v>0</v>
      </c>
      <c r="AA244" s="430">
        <f t="shared" si="101"/>
        <v>0</v>
      </c>
      <c r="AB244" s="430">
        <f t="shared" si="101"/>
        <v>0</v>
      </c>
      <c r="AC244" s="430">
        <f t="shared" si="101"/>
        <v>0</v>
      </c>
    </row>
    <row r="245" spans="3:29" ht="15.75">
      <c r="C245" s="428" t="s">
        <v>563</v>
      </c>
      <c r="D245" s="440">
        <f>-SUM(F245:AC245)/1000</f>
        <v>132.39670247866533</v>
      </c>
      <c r="F245" s="430">
        <f t="shared" ref="F245:AC245" si="102">F203*F$189</f>
        <v>0</v>
      </c>
      <c r="G245" s="430">
        <f t="shared" si="102"/>
        <v>-132396.70247866533</v>
      </c>
      <c r="H245" s="430">
        <f t="shared" si="102"/>
        <v>0</v>
      </c>
      <c r="I245" s="430">
        <f t="shared" si="102"/>
        <v>0</v>
      </c>
      <c r="J245" s="430">
        <f t="shared" si="102"/>
        <v>0</v>
      </c>
      <c r="K245" s="430">
        <f t="shared" si="102"/>
        <v>0</v>
      </c>
      <c r="L245" s="430">
        <f t="shared" si="102"/>
        <v>0</v>
      </c>
      <c r="M245" s="430">
        <f t="shared" si="102"/>
        <v>0</v>
      </c>
      <c r="N245" s="430">
        <f t="shared" si="102"/>
        <v>0</v>
      </c>
      <c r="O245" s="430">
        <f t="shared" si="102"/>
        <v>0</v>
      </c>
      <c r="P245" s="430">
        <f t="shared" si="102"/>
        <v>0</v>
      </c>
      <c r="Q245" s="430">
        <f t="shared" si="102"/>
        <v>0</v>
      </c>
      <c r="R245" s="430">
        <f t="shared" si="102"/>
        <v>0</v>
      </c>
      <c r="S245" s="430">
        <f t="shared" si="102"/>
        <v>0</v>
      </c>
      <c r="T245" s="430">
        <f t="shared" si="102"/>
        <v>0</v>
      </c>
      <c r="U245" s="430">
        <f t="shared" si="102"/>
        <v>0</v>
      </c>
      <c r="V245" s="430">
        <f t="shared" si="102"/>
        <v>0</v>
      </c>
      <c r="W245" s="430">
        <f t="shared" si="102"/>
        <v>0</v>
      </c>
      <c r="X245" s="430">
        <f t="shared" si="102"/>
        <v>0</v>
      </c>
      <c r="Y245" s="430">
        <f t="shared" si="102"/>
        <v>0</v>
      </c>
      <c r="Z245" s="430">
        <f t="shared" si="102"/>
        <v>0</v>
      </c>
      <c r="AA245" s="430">
        <f t="shared" si="102"/>
        <v>0</v>
      </c>
      <c r="AB245" s="430">
        <f t="shared" si="102"/>
        <v>0</v>
      </c>
      <c r="AC245" s="430">
        <f t="shared" si="102"/>
        <v>0</v>
      </c>
    </row>
    <row r="246" spans="3:29" ht="15.75">
      <c r="C246" s="427" t="s">
        <v>201</v>
      </c>
      <c r="D246" s="440">
        <f>-SUM(F246:AC246)/1000</f>
        <v>149.11316175391937</v>
      </c>
      <c r="F246" s="430">
        <f t="shared" ref="F246:AC246" si="103">F204*F$189</f>
        <v>0</v>
      </c>
      <c r="G246" s="430">
        <f t="shared" si="103"/>
        <v>0</v>
      </c>
      <c r="H246" s="430">
        <f t="shared" si="103"/>
        <v>-12215.582951031312</v>
      </c>
      <c r="I246" s="430">
        <f t="shared" si="103"/>
        <v>-11522.145204751539</v>
      </c>
      <c r="J246" s="430">
        <f t="shared" si="103"/>
        <v>-10867.15677101666</v>
      </c>
      <c r="K246" s="430">
        <f t="shared" si="103"/>
        <v>-10248.5547080305</v>
      </c>
      <c r="L246" s="430">
        <f t="shared" si="103"/>
        <v>-9664.3814343336653</v>
      </c>
      <c r="M246" s="430">
        <f t="shared" si="103"/>
        <v>-9112.7797724198972</v>
      </c>
      <c r="N246" s="430">
        <f t="shared" si="103"/>
        <v>-8591.9881899248085</v>
      </c>
      <c r="O246" s="430">
        <f t="shared" si="103"/>
        <v>-8009.1779221438819</v>
      </c>
      <c r="P246" s="430">
        <f t="shared" si="103"/>
        <v>-7465.8507847524643</v>
      </c>
      <c r="Q246" s="430">
        <f t="shared" si="103"/>
        <v>-6959.3351010799161</v>
      </c>
      <c r="R246" s="430">
        <f t="shared" si="103"/>
        <v>-6487.1397777609864</v>
      </c>
      <c r="S246" s="430">
        <f t="shared" si="103"/>
        <v>-6046.9421113884118</v>
      </c>
      <c r="T246" s="430">
        <f t="shared" si="103"/>
        <v>-5636.5764176873254</v>
      </c>
      <c r="U246" s="430">
        <f t="shared" si="103"/>
        <v>-5254.0234277775035</v>
      </c>
      <c r="V246" s="430">
        <f t="shared" si="103"/>
        <v>-4897.4003998222815</v>
      </c>
      <c r="W246" s="430">
        <f t="shared" si="103"/>
        <v>-4564.9518978445112</v>
      </c>
      <c r="X246" s="430">
        <f t="shared" si="103"/>
        <v>-4255.0411927373316</v>
      </c>
      <c r="Y246" s="430">
        <f t="shared" si="103"/>
        <v>-3966.1422435264035</v>
      </c>
      <c r="Z246" s="430">
        <f t="shared" si="103"/>
        <v>-3696.8322197651969</v>
      </c>
      <c r="AA246" s="430">
        <f t="shared" si="103"/>
        <v>-3445.7845285798885</v>
      </c>
      <c r="AB246" s="430">
        <f t="shared" si="103"/>
        <v>-3211.7623123379926</v>
      </c>
      <c r="AC246" s="430">
        <f t="shared" si="103"/>
        <v>-2993.6123852069286</v>
      </c>
    </row>
    <row r="247" spans="3:29" ht="15.75">
      <c r="C247" s="426"/>
      <c r="D247" s="441"/>
      <c r="F247" s="438">
        <f>SUM(F243:F246)</f>
        <v>0</v>
      </c>
      <c r="G247" s="438">
        <f t="shared" ref="G247:AC247" si="104">SUM(G243:G246)</f>
        <v>-219740.57530598651</v>
      </c>
      <c r="H247" s="438">
        <f t="shared" si="104"/>
        <v>-617986.15590234799</v>
      </c>
      <c r="I247" s="438">
        <f t="shared" si="104"/>
        <v>-51001.972428210967</v>
      </c>
      <c r="J247" s="438">
        <f t="shared" si="104"/>
        <v>-10867.15677101666</v>
      </c>
      <c r="K247" s="438">
        <f t="shared" si="104"/>
        <v>-10248.5547080305</v>
      </c>
      <c r="L247" s="438">
        <f t="shared" si="104"/>
        <v>-9664.3814343336653</v>
      </c>
      <c r="M247" s="438">
        <f t="shared" si="104"/>
        <v>-9112.7797724198972</v>
      </c>
      <c r="N247" s="438">
        <f t="shared" si="104"/>
        <v>-8591.9881899248085</v>
      </c>
      <c r="O247" s="438">
        <f t="shared" si="104"/>
        <v>-8009.1779221438819</v>
      </c>
      <c r="P247" s="438">
        <f t="shared" si="104"/>
        <v>-7465.8507847524643</v>
      </c>
      <c r="Q247" s="438">
        <f t="shared" si="104"/>
        <v>-6959.3351010799161</v>
      </c>
      <c r="R247" s="438">
        <f t="shared" si="104"/>
        <v>-6487.1397777609864</v>
      </c>
      <c r="S247" s="438">
        <f t="shared" si="104"/>
        <v>-6046.9421113884118</v>
      </c>
      <c r="T247" s="438">
        <f t="shared" si="104"/>
        <v>-5636.5764176873254</v>
      </c>
      <c r="U247" s="438">
        <f t="shared" si="104"/>
        <v>-5254.0234277775035</v>
      </c>
      <c r="V247" s="438">
        <f t="shared" si="104"/>
        <v>-4897.4003998222815</v>
      </c>
      <c r="W247" s="438">
        <f t="shared" si="104"/>
        <v>-4564.9518978445112</v>
      </c>
      <c r="X247" s="438">
        <f t="shared" si="104"/>
        <v>-4255.0411927373316</v>
      </c>
      <c r="Y247" s="438">
        <f t="shared" si="104"/>
        <v>-3966.1422435264035</v>
      </c>
      <c r="Z247" s="438">
        <f t="shared" si="104"/>
        <v>-3696.8322197651969</v>
      </c>
      <c r="AA247" s="438">
        <f t="shared" si="104"/>
        <v>-3445.7845285798885</v>
      </c>
      <c r="AB247" s="438">
        <f t="shared" si="104"/>
        <v>-3211.7623123379926</v>
      </c>
      <c r="AC247" s="438">
        <f t="shared" si="104"/>
        <v>-2993.6123852069286</v>
      </c>
    </row>
    <row r="248" spans="3:29" ht="15.75">
      <c r="C248" s="425" t="s">
        <v>0</v>
      </c>
      <c r="D248" s="442">
        <f>SUM(D249:D255)</f>
        <v>2074.4979194770699</v>
      </c>
      <c r="F248" s="430"/>
      <c r="G248" s="430"/>
      <c r="H248" s="430"/>
      <c r="I248" s="430"/>
      <c r="J248" s="430"/>
      <c r="K248" s="430"/>
      <c r="L248" s="430"/>
      <c r="M248" s="430"/>
      <c r="N248" s="430"/>
      <c r="O248" s="430"/>
      <c r="P248" s="430"/>
      <c r="Q248" s="430"/>
      <c r="R248" s="430"/>
      <c r="S248" s="430"/>
      <c r="T248" s="430"/>
      <c r="U248" s="430"/>
      <c r="V248" s="430"/>
      <c r="W248" s="430"/>
      <c r="X248" s="430"/>
      <c r="Y248" s="430"/>
      <c r="Z248" s="430"/>
      <c r="AA248" s="430"/>
      <c r="AB248" s="430"/>
      <c r="AC248" s="430"/>
    </row>
    <row r="249" spans="3:29" ht="15.75">
      <c r="C249" s="427" t="s">
        <v>599</v>
      </c>
      <c r="D249" s="440">
        <f t="shared" ref="D249:D255" si="105">SUM(F249:AC249)/1000</f>
        <v>97.377978963550973</v>
      </c>
      <c r="F249" s="430">
        <f>F207*F$189</f>
        <v>0</v>
      </c>
      <c r="G249" s="430">
        <f t="shared" ref="G249:AC249" si="106">G207*G$189</f>
        <v>0</v>
      </c>
      <c r="H249" s="430">
        <f t="shared" si="106"/>
        <v>7283.2852974661146</v>
      </c>
      <c r="I249" s="430">
        <f t="shared" si="106"/>
        <v>6949.4662830654524</v>
      </c>
      <c r="J249" s="430">
        <f t="shared" si="106"/>
        <v>6630.0387901398326</v>
      </c>
      <c r="K249" s="430">
        <f t="shared" si="106"/>
        <v>6324.4435210081401</v>
      </c>
      <c r="L249" s="430">
        <f t="shared" si="106"/>
        <v>6032.1386697927946</v>
      </c>
      <c r="M249" s="430">
        <f t="shared" si="106"/>
        <v>5752.5996922994664</v>
      </c>
      <c r="N249" s="430">
        <f t="shared" si="106"/>
        <v>5485.3190503113819</v>
      </c>
      <c r="O249" s="430">
        <f t="shared" si="106"/>
        <v>5170.9515520341411</v>
      </c>
      <c r="P249" s="430">
        <f t="shared" si="106"/>
        <v>4874.3413153195288</v>
      </c>
      <c r="Q249" s="430">
        <f t="shared" si="106"/>
        <v>4594.5047806138846</v>
      </c>
      <c r="R249" s="430">
        <f t="shared" si="106"/>
        <v>4330.5113954187991</v>
      </c>
      <c r="S249" s="430">
        <f t="shared" si="106"/>
        <v>4081.4808704249003</v>
      </c>
      <c r="T249" s="430">
        <f t="shared" si="106"/>
        <v>3846.5805688121386</v>
      </c>
      <c r="U249" s="430">
        <f t="shared" si="106"/>
        <v>3625.0230229778567</v>
      </c>
      <c r="V249" s="430">
        <f t="shared" si="106"/>
        <v>3416.0635731380989</v>
      </c>
      <c r="W249" s="430">
        <f t="shared" si="106"/>
        <v>3218.9981224322619</v>
      </c>
      <c r="X249" s="430">
        <f t="shared" si="106"/>
        <v>3033.1610033451366</v>
      </c>
      <c r="Y249" s="430">
        <f t="shared" si="106"/>
        <v>2857.9229504431692</v>
      </c>
      <c r="Z249" s="430">
        <f t="shared" si="106"/>
        <v>2692.689174602629</v>
      </c>
      <c r="AA249" s="430">
        <f t="shared" si="106"/>
        <v>2536.897534085816</v>
      </c>
      <c r="AB249" s="430">
        <f t="shared" si="106"/>
        <v>2390.0167979970324</v>
      </c>
      <c r="AC249" s="430">
        <f t="shared" si="106"/>
        <v>2251.5449978224201</v>
      </c>
    </row>
    <row r="250" spans="3:29" ht="15.75">
      <c r="C250" s="427" t="s">
        <v>600</v>
      </c>
      <c r="D250" s="440">
        <f t="shared" si="105"/>
        <v>418.07178806772527</v>
      </c>
      <c r="F250" s="430">
        <f t="shared" ref="F250:AC250" si="107">F208*F$189</f>
        <v>0</v>
      </c>
      <c r="G250" s="430">
        <f t="shared" si="107"/>
        <v>0</v>
      </c>
      <c r="H250" s="430">
        <f t="shared" si="107"/>
        <v>34249.093417087606</v>
      </c>
      <c r="I250" s="430">
        <f t="shared" si="107"/>
        <v>32304.88704998454</v>
      </c>
      <c r="J250" s="430">
        <f t="shared" si="107"/>
        <v>30468.481849837812</v>
      </c>
      <c r="K250" s="430">
        <f t="shared" si="107"/>
        <v>28734.093902234581</v>
      </c>
      <c r="L250" s="430">
        <f t="shared" si="107"/>
        <v>27096.234693810999</v>
      </c>
      <c r="M250" s="430">
        <f t="shared" si="107"/>
        <v>25549.697215932349</v>
      </c>
      <c r="N250" s="430">
        <f t="shared" si="107"/>
        <v>24089.542622311314</v>
      </c>
      <c r="O250" s="430">
        <f t="shared" si="107"/>
        <v>22455.504902974993</v>
      </c>
      <c r="P250" s="430">
        <f t="shared" si="107"/>
        <v>20932.166887986008</v>
      </c>
      <c r="Q250" s="430">
        <f t="shared" si="107"/>
        <v>19512.037939833222</v>
      </c>
      <c r="R250" s="430">
        <f t="shared" si="107"/>
        <v>18188.133726314169</v>
      </c>
      <c r="S250" s="430">
        <f t="shared" si="107"/>
        <v>16953.942033783816</v>
      </c>
      <c r="T250" s="430">
        <f t="shared" si="107"/>
        <v>15803.390886525642</v>
      </c>
      <c r="U250" s="430">
        <f t="shared" si="107"/>
        <v>14730.81881682335</v>
      </c>
      <c r="V250" s="430">
        <f t="shared" si="107"/>
        <v>13730.947140777645</v>
      </c>
      <c r="W250" s="430">
        <f t="shared" si="107"/>
        <v>12798.854104673605</v>
      </c>
      <c r="X250" s="430">
        <f t="shared" si="107"/>
        <v>11929.950775809128</v>
      </c>
      <c r="Y250" s="430">
        <f t="shared" si="107"/>
        <v>11119.958560186857</v>
      </c>
      <c r="Z250" s="430">
        <f t="shared" si="107"/>
        <v>10364.888237392561</v>
      </c>
      <c r="AA250" s="430">
        <f t="shared" si="107"/>
        <v>9661.020410370531</v>
      </c>
      <c r="AB250" s="430">
        <f t="shared" si="107"/>
        <v>9004.8872746968118</v>
      </c>
      <c r="AC250" s="430">
        <f t="shared" si="107"/>
        <v>8393.2556183777124</v>
      </c>
    </row>
    <row r="251" spans="3:29" ht="15.75">
      <c r="C251" s="427" t="s">
        <v>202</v>
      </c>
      <c r="D251" s="440">
        <f t="shared" si="105"/>
        <v>8.2080086769729235</v>
      </c>
      <c r="F251" s="430">
        <f t="shared" ref="F251:AC251" si="108">F209*F$189</f>
        <v>0</v>
      </c>
      <c r="G251" s="430">
        <f t="shared" si="108"/>
        <v>0</v>
      </c>
      <c r="H251" s="430">
        <f t="shared" si="108"/>
        <v>441.05597224792774</v>
      </c>
      <c r="I251" s="430">
        <f t="shared" si="108"/>
        <v>442.56160384513441</v>
      </c>
      <c r="J251" s="430">
        <f t="shared" si="108"/>
        <v>442.61112833118563</v>
      </c>
      <c r="K251" s="430">
        <f t="shared" si="108"/>
        <v>441.35362381554364</v>
      </c>
      <c r="L251" s="430">
        <f t="shared" si="108"/>
        <v>438.92686351949408</v>
      </c>
      <c r="M251" s="430">
        <f t="shared" si="108"/>
        <v>435.45804516078408</v>
      </c>
      <c r="N251" s="430">
        <f t="shared" si="108"/>
        <v>431.06447967717605</v>
      </c>
      <c r="O251" s="430">
        <f t="shared" si="108"/>
        <v>421.06182849742731</v>
      </c>
      <c r="P251" s="430">
        <f t="shared" si="108"/>
        <v>410.55684653379205</v>
      </c>
      <c r="Q251" s="430">
        <f t="shared" si="108"/>
        <v>399.65619408677355</v>
      </c>
      <c r="R251" s="430">
        <f t="shared" si="108"/>
        <v>388.4548309478302</v>
      </c>
      <c r="S251" s="430">
        <f t="shared" si="108"/>
        <v>377.03708486676373</v>
      </c>
      <c r="T251" s="430">
        <f t="shared" si="108"/>
        <v>365.47763063547313</v>
      </c>
      <c r="U251" s="430">
        <f t="shared" si="108"/>
        <v>353.84238689076659</v>
      </c>
      <c r="V251" s="430">
        <f t="shared" si="108"/>
        <v>342.18933719324531</v>
      </c>
      <c r="W251" s="430">
        <f t="shared" si="108"/>
        <v>330.56928143458185</v>
      </c>
      <c r="X251" s="430">
        <f t="shared" si="108"/>
        <v>319.02652315869858</v>
      </c>
      <c r="Y251" s="430">
        <f t="shared" si="108"/>
        <v>307.59949795066677</v>
      </c>
      <c r="Z251" s="430">
        <f t="shared" si="108"/>
        <v>296.32134764797223</v>
      </c>
      <c r="AA251" s="430">
        <f t="shared" si="108"/>
        <v>285.22044475976793</v>
      </c>
      <c r="AB251" s="430">
        <f t="shared" si="108"/>
        <v>274.32087113854902</v>
      </c>
      <c r="AC251" s="430">
        <f t="shared" si="108"/>
        <v>263.64285463337103</v>
      </c>
    </row>
    <row r="252" spans="3:29" ht="15.75">
      <c r="C252" s="427" t="s">
        <v>203</v>
      </c>
      <c r="D252" s="440">
        <f t="shared" si="105"/>
        <v>703.31141333690141</v>
      </c>
      <c r="F252" s="430">
        <f t="shared" ref="F252:AC252" si="109">F210*F$189</f>
        <v>0</v>
      </c>
      <c r="G252" s="430">
        <f t="shared" si="109"/>
        <v>0</v>
      </c>
      <c r="H252" s="430">
        <f t="shared" si="109"/>
        <v>57616.368729423484</v>
      </c>
      <c r="I252" s="430">
        <f t="shared" si="109"/>
        <v>54345.680376627133</v>
      </c>
      <c r="J252" s="430">
        <f t="shared" si="109"/>
        <v>51256.34315360168</v>
      </c>
      <c r="K252" s="430">
        <f t="shared" si="109"/>
        <v>48338.626929933132</v>
      </c>
      <c r="L252" s="430">
        <f t="shared" si="109"/>
        <v>45583.298520792436</v>
      </c>
      <c r="M252" s="430">
        <f t="shared" si="109"/>
        <v>42981.598309514076</v>
      </c>
      <c r="N252" s="430">
        <f t="shared" si="109"/>
        <v>40525.217802050567</v>
      </c>
      <c r="O252" s="430">
        <f t="shared" si="109"/>
        <v>37776.318185685974</v>
      </c>
      <c r="P252" s="430">
        <f t="shared" si="109"/>
        <v>35213.645833974508</v>
      </c>
      <c r="Q252" s="430">
        <f t="shared" si="109"/>
        <v>32824.599440142767</v>
      </c>
      <c r="R252" s="430">
        <f t="shared" si="109"/>
        <v>30597.429441812426</v>
      </c>
      <c r="S252" s="430">
        <f t="shared" si="109"/>
        <v>28521.180509508082</v>
      </c>
      <c r="T252" s="430">
        <f t="shared" si="109"/>
        <v>26585.637914695486</v>
      </c>
      <c r="U252" s="430">
        <f t="shared" si="109"/>
        <v>24781.27751588809</v>
      </c>
      <c r="V252" s="430">
        <f t="shared" si="109"/>
        <v>23099.219118966739</v>
      </c>
      <c r="W252" s="430">
        <f t="shared" si="109"/>
        <v>21531.182984278737</v>
      </c>
      <c r="X252" s="430">
        <f t="shared" si="109"/>
        <v>20069.449268398781</v>
      </c>
      <c r="Y252" s="430">
        <f t="shared" si="109"/>
        <v>18706.820202720464</v>
      </c>
      <c r="Z252" s="430">
        <f t="shared" si="109"/>
        <v>17436.58482437157</v>
      </c>
      <c r="AA252" s="430">
        <f t="shared" si="109"/>
        <v>16252.486087374169</v>
      </c>
      <c r="AB252" s="430">
        <f t="shared" si="109"/>
        <v>15148.690193562032</v>
      </c>
      <c r="AC252" s="430">
        <f t="shared" si="109"/>
        <v>14119.757993578969</v>
      </c>
    </row>
    <row r="253" spans="3:29" ht="15.75">
      <c r="C253" s="427" t="s">
        <v>204</v>
      </c>
      <c r="D253" s="440">
        <f t="shared" si="105"/>
        <v>104.1534586486562</v>
      </c>
      <c r="F253" s="430">
        <f t="shared" ref="F253:AC253" si="110">F211*F$189</f>
        <v>0</v>
      </c>
      <c r="G253" s="430">
        <f t="shared" si="110"/>
        <v>0</v>
      </c>
      <c r="H253" s="430">
        <f t="shared" si="110"/>
        <v>10585.293111253703</v>
      </c>
      <c r="I253" s="430">
        <f t="shared" si="110"/>
        <v>9583.2448220130664</v>
      </c>
      <c r="J253" s="430">
        <f t="shared" si="110"/>
        <v>8751.510700018629</v>
      </c>
      <c r="K253" s="430">
        <f t="shared" si="110"/>
        <v>7929.0542184310198</v>
      </c>
      <c r="L253" s="430">
        <f t="shared" si="110"/>
        <v>7148.9614281654158</v>
      </c>
      <c r="M253" s="430">
        <f t="shared" si="110"/>
        <v>6435.1606891079946</v>
      </c>
      <c r="N253" s="430">
        <f t="shared" si="110"/>
        <v>5782.3138399477921</v>
      </c>
      <c r="O253" s="430">
        <f t="shared" si="110"/>
        <v>5196.5988486455763</v>
      </c>
      <c r="P253" s="430">
        <f t="shared" si="110"/>
        <v>4808.3959254504452</v>
      </c>
      <c r="Q253" s="430">
        <f t="shared" si="110"/>
        <v>4448.9135994801745</v>
      </c>
      <c r="R253" s="430">
        <f t="shared" si="110"/>
        <v>4116.0443652441481</v>
      </c>
      <c r="S253" s="430">
        <f t="shared" si="110"/>
        <v>3807.8342790808119</v>
      </c>
      <c r="T253" s="430">
        <f t="shared" si="110"/>
        <v>3522.4718384761504</v>
      </c>
      <c r="U253" s="430">
        <f t="shared" si="110"/>
        <v>3258.2776623791756</v>
      </c>
      <c r="V253" s="430">
        <f t="shared" si="110"/>
        <v>3013.6949150972432</v>
      </c>
      <c r="W253" s="430">
        <f t="shared" si="110"/>
        <v>2787.2804204520039</v>
      </c>
      <c r="X253" s="430">
        <f t="shared" si="110"/>
        <v>2577.6964166835987</v>
      </c>
      <c r="Y253" s="430">
        <f t="shared" si="110"/>
        <v>2383.702906126714</v>
      </c>
      <c r="Z253" s="430">
        <f t="shared" si="110"/>
        <v>2221.2305592907569</v>
      </c>
      <c r="AA253" s="430">
        <f t="shared" si="110"/>
        <v>2069.8214598203231</v>
      </c>
      <c r="AB253" s="430">
        <f t="shared" si="110"/>
        <v>1928.7229833839203</v>
      </c>
      <c r="AC253" s="430">
        <f t="shared" si="110"/>
        <v>1797.2336601075658</v>
      </c>
    </row>
    <row r="254" spans="3:29" ht="15.75">
      <c r="C254" s="427" t="s">
        <v>601</v>
      </c>
      <c r="D254" s="440">
        <f t="shared" si="105"/>
        <v>2.3366186393706787E-2</v>
      </c>
      <c r="F254" s="430">
        <f t="shared" ref="F254:AC254" si="111">F212*F$189</f>
        <v>0</v>
      </c>
      <c r="G254" s="430">
        <f t="shared" si="111"/>
        <v>0</v>
      </c>
      <c r="H254" s="430">
        <f t="shared" si="111"/>
        <v>1.9141944599942871</v>
      </c>
      <c r="I254" s="430">
        <f t="shared" si="111"/>
        <v>1.8055320492357729</v>
      </c>
      <c r="J254" s="430">
        <f t="shared" si="111"/>
        <v>1.7028946854487435</v>
      </c>
      <c r="K254" s="430">
        <f t="shared" si="111"/>
        <v>1.6059591035239222</v>
      </c>
      <c r="L254" s="430">
        <f t="shared" si="111"/>
        <v>1.514418548425583</v>
      </c>
      <c r="M254" s="430">
        <f t="shared" si="111"/>
        <v>1.4279819985211157</v>
      </c>
      <c r="N254" s="430">
        <f t="shared" si="111"/>
        <v>1.3463734198703861</v>
      </c>
      <c r="O254" s="430">
        <f t="shared" si="111"/>
        <v>1.2550464492062603</v>
      </c>
      <c r="P254" s="430">
        <f t="shared" si="111"/>
        <v>1.1699065258371997</v>
      </c>
      <c r="Q254" s="430">
        <f t="shared" si="111"/>
        <v>1.0905349952706327</v>
      </c>
      <c r="R254" s="430">
        <f t="shared" si="111"/>
        <v>1.0165415006043801</v>
      </c>
      <c r="S254" s="430">
        <f t="shared" si="111"/>
        <v>0.94756207181652574</v>
      </c>
      <c r="T254" s="430">
        <f t="shared" si="111"/>
        <v>0.88325734394530964</v>
      </c>
      <c r="U254" s="430">
        <f t="shared" si="111"/>
        <v>0.82331089547247527</v>
      </c>
      <c r="V254" s="430">
        <f t="shared" si="111"/>
        <v>0.76742769880844386</v>
      </c>
      <c r="W254" s="430">
        <f t="shared" si="111"/>
        <v>0.71533267532325484</v>
      </c>
      <c r="X254" s="430">
        <f t="shared" si="111"/>
        <v>0.666769347876078</v>
      </c>
      <c r="Y254" s="430">
        <f t="shared" si="111"/>
        <v>0.62149858427072424</v>
      </c>
      <c r="Z254" s="430">
        <f t="shared" si="111"/>
        <v>0.57929742550726848</v>
      </c>
      <c r="AA254" s="430">
        <f t="shared" si="111"/>
        <v>0.53995799311278747</v>
      </c>
      <c r="AB254" s="430">
        <f t="shared" si="111"/>
        <v>0.50328647021931772</v>
      </c>
      <c r="AC254" s="430">
        <f t="shared" si="111"/>
        <v>0.46910215141632661</v>
      </c>
    </row>
    <row r="255" spans="3:29" ht="15.75">
      <c r="C255" s="427" t="s">
        <v>205</v>
      </c>
      <c r="D255" s="440">
        <f t="shared" si="105"/>
        <v>743.35190559686964</v>
      </c>
      <c r="F255" s="430">
        <f t="shared" ref="F255:AC255" si="112">F213*F$189</f>
        <v>0</v>
      </c>
      <c r="G255" s="430">
        <f t="shared" si="112"/>
        <v>0</v>
      </c>
      <c r="H255" s="430">
        <f t="shared" si="112"/>
        <v>60896.54835172242</v>
      </c>
      <c r="I255" s="430">
        <f t="shared" si="112"/>
        <v>57439.655183830626</v>
      </c>
      <c r="J255" s="430">
        <f t="shared" si="112"/>
        <v>54174.437716547385</v>
      </c>
      <c r="K255" s="430">
        <f t="shared" si="112"/>
        <v>51090.611869666143</v>
      </c>
      <c r="L255" s="430">
        <f t="shared" si="112"/>
        <v>48178.418800365267</v>
      </c>
      <c r="M255" s="430">
        <f t="shared" si="112"/>
        <v>45428.600194877719</v>
      </c>
      <c r="N255" s="430">
        <f t="shared" si="112"/>
        <v>42832.374545089602</v>
      </c>
      <c r="O255" s="430">
        <f t="shared" si="112"/>
        <v>39926.97626863607</v>
      </c>
      <c r="P255" s="430">
        <f t="shared" si="112"/>
        <v>37218.40743278154</v>
      </c>
      <c r="Q255" s="430">
        <f t="shared" si="112"/>
        <v>34693.349320915739</v>
      </c>
      <c r="R255" s="430">
        <f t="shared" si="112"/>
        <v>32339.383451810761</v>
      </c>
      <c r="S255" s="430">
        <f t="shared" si="112"/>
        <v>30144.930793920237</v>
      </c>
      <c r="T255" s="430">
        <f t="shared" si="112"/>
        <v>28099.195080075609</v>
      </c>
      <c r="U255" s="430">
        <f t="shared" si="112"/>
        <v>26192.109946232471</v>
      </c>
      <c r="V255" s="430">
        <f t="shared" si="112"/>
        <v>24414.289636528851</v>
      </c>
      <c r="W255" s="430">
        <f t="shared" si="112"/>
        <v>22756.9830342731</v>
      </c>
      <c r="X255" s="430">
        <f t="shared" si="112"/>
        <v>21212.030794668164</v>
      </c>
      <c r="Y255" s="430">
        <f t="shared" si="112"/>
        <v>19771.825370177979</v>
      </c>
      <c r="Z255" s="430">
        <f t="shared" si="112"/>
        <v>18429.273733524951</v>
      </c>
      <c r="AA255" s="430">
        <f t="shared" si="112"/>
        <v>17177.762616442848</v>
      </c>
      <c r="AB255" s="430">
        <f t="shared" si="112"/>
        <v>16011.126094560872</v>
      </c>
      <c r="AC255" s="430">
        <f t="shared" si="112"/>
        <v>14923.615360221338</v>
      </c>
    </row>
    <row r="256" spans="3:29" ht="15.75">
      <c r="C256" s="426"/>
      <c r="D256" s="441"/>
      <c r="F256" s="437">
        <f>SUM(F249:F255)</f>
        <v>0</v>
      </c>
      <c r="G256" s="437">
        <f t="shared" ref="G256:AC256" si="113">SUM(G249:G255)</f>
        <v>0</v>
      </c>
      <c r="H256" s="437">
        <f t="shared" si="113"/>
        <v>171073.55907366125</v>
      </c>
      <c r="I256" s="437">
        <f t="shared" si="113"/>
        <v>161067.3008514152</v>
      </c>
      <c r="J256" s="437">
        <f t="shared" si="113"/>
        <v>151725.12623316195</v>
      </c>
      <c r="K256" s="437">
        <f t="shared" si="113"/>
        <v>142859.79002419207</v>
      </c>
      <c r="L256" s="437">
        <f t="shared" si="113"/>
        <v>134479.49339499485</v>
      </c>
      <c r="M256" s="437">
        <f t="shared" si="113"/>
        <v>126584.54212889093</v>
      </c>
      <c r="N256" s="437">
        <f t="shared" si="113"/>
        <v>119147.17871280771</v>
      </c>
      <c r="O256" s="437">
        <f t="shared" si="113"/>
        <v>110948.66663292338</v>
      </c>
      <c r="P256" s="437">
        <f t="shared" si="113"/>
        <v>103458.68414857166</v>
      </c>
      <c r="Q256" s="437">
        <f t="shared" si="113"/>
        <v>96474.151810067837</v>
      </c>
      <c r="R256" s="437">
        <f t="shared" si="113"/>
        <v>89960.973753048733</v>
      </c>
      <c r="S256" s="437">
        <f t="shared" si="113"/>
        <v>83887.353133656419</v>
      </c>
      <c r="T256" s="437">
        <f t="shared" si="113"/>
        <v>78223.637176564444</v>
      </c>
      <c r="U256" s="437">
        <f t="shared" si="113"/>
        <v>72942.172662087192</v>
      </c>
      <c r="V256" s="437">
        <f t="shared" si="113"/>
        <v>68017.17114940063</v>
      </c>
      <c r="W256" s="437">
        <f t="shared" si="113"/>
        <v>63424.583280219616</v>
      </c>
      <c r="X256" s="437">
        <f t="shared" si="113"/>
        <v>59141.98155141138</v>
      </c>
      <c r="Y256" s="437">
        <f t="shared" si="113"/>
        <v>55148.450986190117</v>
      </c>
      <c r="Z256" s="437">
        <f t="shared" si="113"/>
        <v>51441.56717425595</v>
      </c>
      <c r="AA256" s="437">
        <f t="shared" si="113"/>
        <v>47983.74851084657</v>
      </c>
      <c r="AB256" s="437">
        <f t="shared" si="113"/>
        <v>44758.267501809438</v>
      </c>
      <c r="AC256" s="437">
        <f t="shared" si="113"/>
        <v>41749.519586892791</v>
      </c>
    </row>
    <row r="257" spans="3:29" ht="15.75">
      <c r="C257" s="425" t="s">
        <v>184</v>
      </c>
      <c r="D257" s="442">
        <f>NPV(0.07,F216:AC216)/1000</f>
        <v>1060.3937822423879</v>
      </c>
    </row>
    <row r="258" spans="3:29" ht="15.75">
      <c r="C258" s="425" t="s">
        <v>185</v>
      </c>
      <c r="D258" s="443">
        <f>IRR(F258:AC258)</f>
        <v>0.13922395519921682</v>
      </c>
      <c r="F258" s="430">
        <f>F247+F256</f>
        <v>0</v>
      </c>
      <c r="G258" s="430">
        <f t="shared" ref="G258:AC258" si="114">G247+G256</f>
        <v>-219740.57530598651</v>
      </c>
      <c r="H258" s="430">
        <f t="shared" si="114"/>
        <v>-446912.59682868677</v>
      </c>
      <c r="I258" s="430">
        <f t="shared" si="114"/>
        <v>110065.32842320424</v>
      </c>
      <c r="J258" s="430">
        <f t="shared" si="114"/>
        <v>140857.96946214529</v>
      </c>
      <c r="K258" s="430">
        <f t="shared" si="114"/>
        <v>132611.23531616156</v>
      </c>
      <c r="L258" s="430">
        <f t="shared" si="114"/>
        <v>124815.11196066118</v>
      </c>
      <c r="M258" s="430">
        <f t="shared" si="114"/>
        <v>117471.76235647104</v>
      </c>
      <c r="N258" s="430">
        <f t="shared" si="114"/>
        <v>110555.1905228829</v>
      </c>
      <c r="O258" s="430">
        <f t="shared" si="114"/>
        <v>102939.48871077951</v>
      </c>
      <c r="P258" s="430">
        <f t="shared" si="114"/>
        <v>95992.833363819198</v>
      </c>
      <c r="Q258" s="430">
        <f t="shared" si="114"/>
        <v>89514.816708987928</v>
      </c>
      <c r="R258" s="430">
        <f t="shared" si="114"/>
        <v>83473.833975287751</v>
      </c>
      <c r="S258" s="430">
        <f t="shared" si="114"/>
        <v>77840.411022268003</v>
      </c>
      <c r="T258" s="430">
        <f t="shared" si="114"/>
        <v>72587.060758877124</v>
      </c>
      <c r="U258" s="430">
        <f t="shared" si="114"/>
        <v>67688.149234309691</v>
      </c>
      <c r="V258" s="430">
        <f t="shared" si="114"/>
        <v>63119.770749578347</v>
      </c>
      <c r="W258" s="430">
        <f t="shared" si="114"/>
        <v>58859.631382375104</v>
      </c>
      <c r="X258" s="430">
        <f t="shared" si="114"/>
        <v>54886.940358674052</v>
      </c>
      <c r="Y258" s="430">
        <f t="shared" si="114"/>
        <v>51182.308742663714</v>
      </c>
      <c r="Z258" s="430">
        <f t="shared" si="114"/>
        <v>47744.734954490756</v>
      </c>
      <c r="AA258" s="430">
        <f t="shared" si="114"/>
        <v>44537.96398226668</v>
      </c>
      <c r="AB258" s="430">
        <f t="shared" si="114"/>
        <v>41546.505189471442</v>
      </c>
      <c r="AC258" s="430">
        <f t="shared" si="114"/>
        <v>38755.907201685863</v>
      </c>
    </row>
    <row r="259" spans="3:29" ht="15.75">
      <c r="C259" s="425" t="s">
        <v>186</v>
      </c>
      <c r="D259" s="444">
        <f>SUM(D249:D255)/SUM(D243:D246)</f>
        <v>2.0456458496796306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Z100"/>
  <sheetViews>
    <sheetView zoomScale="75" zoomScaleNormal="75" workbookViewId="0">
      <selection activeCell="A25" sqref="A25:XFD25"/>
    </sheetView>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2.5703125"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406</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245</v>
      </c>
      <c r="X3" s="72" t="s">
        <v>246</v>
      </c>
      <c r="Y3" s="72" t="s">
        <v>247</v>
      </c>
      <c r="Z3" s="72" t="s">
        <v>248</v>
      </c>
    </row>
    <row r="4" spans="1:26">
      <c r="A4" s="5" t="s">
        <v>367</v>
      </c>
      <c r="B4" s="53"/>
      <c r="G4"/>
      <c r="I4"/>
    </row>
    <row r="5" spans="1:26">
      <c r="A5" s="70" t="s">
        <v>366</v>
      </c>
      <c r="B5" s="70" t="s">
        <v>366</v>
      </c>
      <c r="C5" s="34">
        <v>0</v>
      </c>
      <c r="D5" s="34">
        <v>0</v>
      </c>
      <c r="E5" s="34">
        <f t="shared" ref="E5:Z5" si="0">E66</f>
        <v>227539.91911329882</v>
      </c>
      <c r="F5" s="34">
        <f t="shared" si="0"/>
        <v>229646.86649007368</v>
      </c>
      <c r="G5" s="34">
        <f t="shared" si="0"/>
        <v>231753.81386684853</v>
      </c>
      <c r="H5" s="34">
        <f t="shared" si="0"/>
        <v>233860.76124362342</v>
      </c>
      <c r="I5" s="34">
        <f t="shared" si="0"/>
        <v>235967.70862039836</v>
      </c>
      <c r="J5" s="34">
        <f t="shared" si="0"/>
        <v>238074.65599717325</v>
      </c>
      <c r="K5" s="34">
        <f t="shared" si="0"/>
        <v>240181.60337394811</v>
      </c>
      <c r="L5" s="34">
        <f t="shared" si="0"/>
        <v>239561.92131580421</v>
      </c>
      <c r="M5" s="34">
        <f t="shared" si="0"/>
        <v>238942.23925766026</v>
      </c>
      <c r="N5" s="34">
        <f t="shared" si="0"/>
        <v>238322.55719951633</v>
      </c>
      <c r="O5" s="34">
        <f t="shared" si="0"/>
        <v>237702.87514137244</v>
      </c>
      <c r="P5" s="34">
        <f t="shared" si="0"/>
        <v>237083.19308322843</v>
      </c>
      <c r="Q5" s="34">
        <f t="shared" si="0"/>
        <v>236463.51102508456</v>
      </c>
      <c r="R5" s="34">
        <f t="shared" si="0"/>
        <v>235843.82896694064</v>
      </c>
      <c r="S5" s="34">
        <f t="shared" si="0"/>
        <v>235224.14690879665</v>
      </c>
      <c r="T5" s="34">
        <f t="shared" si="0"/>
        <v>234604.46485065273</v>
      </c>
      <c r="U5" s="34">
        <f t="shared" si="0"/>
        <v>233984.78279250875</v>
      </c>
      <c r="V5" s="34">
        <f t="shared" si="0"/>
        <v>233365.10073436485</v>
      </c>
      <c r="W5" s="34">
        <f t="shared" si="0"/>
        <v>232745.41867622093</v>
      </c>
      <c r="X5" s="34">
        <f t="shared" si="0"/>
        <v>232125.736618077</v>
      </c>
      <c r="Y5" s="34">
        <f t="shared" si="0"/>
        <v>231506.05455993311</v>
      </c>
      <c r="Z5" s="34">
        <f t="shared" si="0"/>
        <v>230886.37250178913</v>
      </c>
    </row>
    <row r="6" spans="1:26">
      <c r="A6" s="70" t="s">
        <v>424</v>
      </c>
      <c r="B6" s="54" t="s">
        <v>425</v>
      </c>
      <c r="C6">
        <f>C68</f>
        <v>0</v>
      </c>
      <c r="D6" s="34">
        <f t="shared" ref="D6:Z7" si="1">D68</f>
        <v>0</v>
      </c>
      <c r="E6" s="34">
        <f t="shared" si="1"/>
        <v>6826.1975733989648</v>
      </c>
      <c r="F6" s="34">
        <f t="shared" si="1"/>
        <v>6889.4059947022097</v>
      </c>
      <c r="G6" s="34">
        <f t="shared" si="1"/>
        <v>6952.6144160054555</v>
      </c>
      <c r="H6" s="34">
        <f t="shared" si="1"/>
        <v>7015.8228373087022</v>
      </c>
      <c r="I6" s="34">
        <f t="shared" si="1"/>
        <v>7079.0312586119508</v>
      </c>
      <c r="J6" s="34">
        <f t="shared" si="1"/>
        <v>7142.2396799151975</v>
      </c>
      <c r="K6" s="34">
        <f t="shared" si="1"/>
        <v>7205.4481012184433</v>
      </c>
      <c r="L6" s="34">
        <f t="shared" si="1"/>
        <v>7186.8576394741258</v>
      </c>
      <c r="M6" s="34">
        <f t="shared" si="1"/>
        <v>7168.2671777298074</v>
      </c>
      <c r="N6" s="34">
        <f t="shared" si="1"/>
        <v>7149.6767159854899</v>
      </c>
      <c r="O6" s="34">
        <f t="shared" si="1"/>
        <v>7131.0862542411733</v>
      </c>
      <c r="P6" s="34">
        <f t="shared" si="1"/>
        <v>7112.4957924968521</v>
      </c>
      <c r="Q6" s="34">
        <f t="shared" si="1"/>
        <v>7093.9053307525364</v>
      </c>
      <c r="R6" s="34">
        <f t="shared" si="1"/>
        <v>7075.3148690082189</v>
      </c>
      <c r="S6" s="34">
        <f t="shared" si="1"/>
        <v>7056.7244072638996</v>
      </c>
      <c r="T6" s="34">
        <f t="shared" si="1"/>
        <v>7038.1339455195821</v>
      </c>
      <c r="U6" s="34">
        <f t="shared" si="1"/>
        <v>7019.5434837752618</v>
      </c>
      <c r="V6" s="34">
        <f t="shared" si="1"/>
        <v>7000.9530220309452</v>
      </c>
      <c r="W6" s="34">
        <f t="shared" si="1"/>
        <v>6982.3625602866277</v>
      </c>
      <c r="X6" s="34">
        <f t="shared" si="1"/>
        <v>6963.7720985423102</v>
      </c>
      <c r="Y6" s="34">
        <f t="shared" si="1"/>
        <v>6945.1816367979927</v>
      </c>
      <c r="Z6" s="34">
        <f t="shared" si="1"/>
        <v>6926.5911750536734</v>
      </c>
    </row>
    <row r="7" spans="1:26">
      <c r="A7" s="70"/>
      <c r="B7" s="78" t="s">
        <v>418</v>
      </c>
      <c r="C7">
        <f>C69</f>
        <v>0</v>
      </c>
      <c r="D7" s="34">
        <f t="shared" si="1"/>
        <v>0</v>
      </c>
      <c r="E7" s="34">
        <f t="shared" si="1"/>
        <v>4550.7983822659762</v>
      </c>
      <c r="F7" s="34">
        <f t="shared" si="1"/>
        <v>4592.9373298014734</v>
      </c>
      <c r="G7" s="34">
        <f t="shared" si="1"/>
        <v>4635.0762773369706</v>
      </c>
      <c r="H7" s="34">
        <f t="shared" si="1"/>
        <v>4677.2152248724688</v>
      </c>
      <c r="I7" s="34">
        <f t="shared" si="1"/>
        <v>4719.3541724079678</v>
      </c>
      <c r="J7" s="34">
        <f t="shared" si="1"/>
        <v>4761.493119943465</v>
      </c>
      <c r="K7" s="34">
        <f t="shared" si="1"/>
        <v>4803.6320674789622</v>
      </c>
      <c r="L7" s="34">
        <f t="shared" si="1"/>
        <v>4791.2384263160848</v>
      </c>
      <c r="M7" s="34">
        <f t="shared" si="1"/>
        <v>4778.8447851532055</v>
      </c>
      <c r="N7" s="34">
        <f t="shared" si="1"/>
        <v>4766.4511439903272</v>
      </c>
      <c r="O7" s="34">
        <f t="shared" si="1"/>
        <v>4754.0575028274488</v>
      </c>
      <c r="P7" s="34">
        <f t="shared" si="1"/>
        <v>4741.6638616645687</v>
      </c>
      <c r="Q7" s="34">
        <f t="shared" si="1"/>
        <v>4729.2702205016913</v>
      </c>
      <c r="R7" s="34">
        <f t="shared" si="1"/>
        <v>4716.8765793388129</v>
      </c>
      <c r="S7" s="34">
        <f t="shared" si="1"/>
        <v>4704.4829381759328</v>
      </c>
      <c r="T7" s="34">
        <f t="shared" si="1"/>
        <v>4692.0892970130544</v>
      </c>
      <c r="U7" s="34">
        <f t="shared" si="1"/>
        <v>4679.6956558501752</v>
      </c>
      <c r="V7" s="34">
        <f t="shared" si="1"/>
        <v>4667.3020146872968</v>
      </c>
      <c r="W7" s="34">
        <f t="shared" si="1"/>
        <v>4654.9083735244185</v>
      </c>
      <c r="X7" s="34">
        <f t="shared" si="1"/>
        <v>4642.5147323615402</v>
      </c>
      <c r="Y7" s="34">
        <f t="shared" si="1"/>
        <v>4630.1210911986627</v>
      </c>
      <c r="Z7" s="34">
        <f t="shared" si="1"/>
        <v>4617.7274500357826</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277</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366</v>
      </c>
      <c r="B11" s="70" t="s">
        <v>366</v>
      </c>
      <c r="C11" s="208">
        <v>0</v>
      </c>
      <c r="D11" s="34">
        <v>0</v>
      </c>
      <c r="E11" s="34">
        <f t="shared" ref="E11:Z11" si="2">E73</f>
        <v>4309.5282044772202</v>
      </c>
      <c r="F11" s="34">
        <f t="shared" si="2"/>
        <v>4349.4330668017938</v>
      </c>
      <c r="G11" s="34">
        <f t="shared" si="2"/>
        <v>4389.3379291263664</v>
      </c>
      <c r="H11" s="34">
        <f t="shared" si="2"/>
        <v>4429.2427914509399</v>
      </c>
      <c r="I11" s="34">
        <f t="shared" si="2"/>
        <v>4469.1476537755125</v>
      </c>
      <c r="J11" s="34">
        <f t="shared" si="2"/>
        <v>4509.0525161000851</v>
      </c>
      <c r="K11" s="34">
        <f t="shared" si="2"/>
        <v>4548.9573784246586</v>
      </c>
      <c r="L11" s="34">
        <f t="shared" si="2"/>
        <v>4537.2208122968932</v>
      </c>
      <c r="M11" s="34">
        <f t="shared" si="2"/>
        <v>4525.4842461691269</v>
      </c>
      <c r="N11" s="34">
        <f t="shared" si="2"/>
        <v>4513.7476800413606</v>
      </c>
      <c r="O11" s="34">
        <f t="shared" si="2"/>
        <v>4502.0111139135952</v>
      </c>
      <c r="P11" s="34">
        <f t="shared" si="2"/>
        <v>4490.2745477858289</v>
      </c>
      <c r="Q11" s="34">
        <f t="shared" si="2"/>
        <v>4478.5379816580635</v>
      </c>
      <c r="R11" s="34">
        <f t="shared" si="2"/>
        <v>4466.8014155302972</v>
      </c>
      <c r="S11" s="34">
        <f t="shared" si="2"/>
        <v>4455.0648494025299</v>
      </c>
      <c r="T11" s="34">
        <f t="shared" si="2"/>
        <v>4443.3282832747636</v>
      </c>
      <c r="U11" s="34">
        <f t="shared" si="2"/>
        <v>4431.5917171469973</v>
      </c>
      <c r="V11" s="34">
        <f t="shared" si="2"/>
        <v>4419.8551510192319</v>
      </c>
      <c r="W11" s="34">
        <f t="shared" si="2"/>
        <v>4408.1185848914656</v>
      </c>
      <c r="X11" s="34">
        <f t="shared" si="2"/>
        <v>4396.3820187637002</v>
      </c>
      <c r="Y11" s="34">
        <f t="shared" si="2"/>
        <v>4384.6454526359348</v>
      </c>
      <c r="Z11" s="34">
        <f t="shared" si="2"/>
        <v>4372.9088865081685</v>
      </c>
    </row>
    <row r="12" spans="1:26">
      <c r="A12" s="70" t="s">
        <v>415</v>
      </c>
      <c r="B12" s="54" t="s">
        <v>433</v>
      </c>
      <c r="C12">
        <f>C75</f>
        <v>0</v>
      </c>
      <c r="D12" s="34">
        <f t="shared" ref="D12:Z13" si="3">D75</f>
        <v>0</v>
      </c>
      <c r="E12" s="34">
        <f t="shared" si="3"/>
        <v>129.28584613431661</v>
      </c>
      <c r="F12" s="34">
        <f t="shared" si="3"/>
        <v>130.48299200405381</v>
      </c>
      <c r="G12" s="34">
        <f t="shared" si="3"/>
        <v>131.68013787379098</v>
      </c>
      <c r="H12" s="34">
        <f t="shared" si="3"/>
        <v>132.87728374352818</v>
      </c>
      <c r="I12" s="34">
        <f t="shared" si="3"/>
        <v>134.07442961326538</v>
      </c>
      <c r="J12" s="34">
        <f t="shared" si="3"/>
        <v>135.27157548300255</v>
      </c>
      <c r="K12" s="34">
        <f t="shared" si="3"/>
        <v>136.46872135273975</v>
      </c>
      <c r="L12" s="34">
        <f t="shared" si="3"/>
        <v>136.1166243689068</v>
      </c>
      <c r="M12" s="34">
        <f t="shared" si="3"/>
        <v>135.76452738507379</v>
      </c>
      <c r="N12" s="34">
        <f t="shared" si="3"/>
        <v>135.41243040124081</v>
      </c>
      <c r="O12" s="34">
        <f t="shared" si="3"/>
        <v>135.06033341740786</v>
      </c>
      <c r="P12" s="34">
        <f t="shared" si="3"/>
        <v>134.70823643357485</v>
      </c>
      <c r="Q12" s="34">
        <f t="shared" si="3"/>
        <v>134.3561394497419</v>
      </c>
      <c r="R12" s="34">
        <f t="shared" si="3"/>
        <v>134.00404246590892</v>
      </c>
      <c r="S12" s="34">
        <f t="shared" si="3"/>
        <v>133.65194548207589</v>
      </c>
      <c r="T12" s="34">
        <f t="shared" si="3"/>
        <v>133.29984849824291</v>
      </c>
      <c r="U12" s="34">
        <f t="shared" si="3"/>
        <v>132.9477515144099</v>
      </c>
      <c r="V12" s="34">
        <f t="shared" si="3"/>
        <v>132.59565453057695</v>
      </c>
      <c r="W12" s="34">
        <f t="shared" si="3"/>
        <v>132.24355754674397</v>
      </c>
      <c r="X12" s="34">
        <f t="shared" si="3"/>
        <v>131.89146056291099</v>
      </c>
      <c r="Y12" s="34">
        <f t="shared" si="3"/>
        <v>131.53936357907804</v>
      </c>
      <c r="Z12" s="34">
        <f t="shared" si="3"/>
        <v>131.18726659524506</v>
      </c>
    </row>
    <row r="13" spans="1:26">
      <c r="A13" s="70"/>
      <c r="B13" s="78" t="s">
        <v>427</v>
      </c>
      <c r="C13">
        <f>C76</f>
        <v>0</v>
      </c>
      <c r="D13" s="34">
        <f t="shared" si="3"/>
        <v>0</v>
      </c>
      <c r="E13" s="34">
        <f t="shared" si="3"/>
        <v>86.190564089544409</v>
      </c>
      <c r="F13" s="34">
        <f t="shared" si="3"/>
        <v>86.988661336035875</v>
      </c>
      <c r="G13" s="34">
        <f t="shared" si="3"/>
        <v>87.786758582527327</v>
      </c>
      <c r="H13" s="34">
        <f t="shared" si="3"/>
        <v>88.584855829018792</v>
      </c>
      <c r="I13" s="34">
        <f t="shared" si="3"/>
        <v>89.382953075510258</v>
      </c>
      <c r="J13" s="34">
        <f t="shared" si="3"/>
        <v>90.18105032200171</v>
      </c>
      <c r="K13" s="34">
        <f t="shared" si="3"/>
        <v>90.979147568493175</v>
      </c>
      <c r="L13" s="34">
        <f t="shared" si="3"/>
        <v>90.74441624593787</v>
      </c>
      <c r="M13" s="34">
        <f t="shared" si="3"/>
        <v>90.509684923382537</v>
      </c>
      <c r="N13" s="34">
        <f t="shared" si="3"/>
        <v>90.274953600827217</v>
      </c>
      <c r="O13" s="34">
        <f t="shared" si="3"/>
        <v>90.040222278271912</v>
      </c>
      <c r="P13" s="34">
        <f t="shared" si="3"/>
        <v>89.805490955716579</v>
      </c>
      <c r="Q13" s="34">
        <f t="shared" si="3"/>
        <v>89.570759633161273</v>
      </c>
      <c r="R13" s="34">
        <f t="shared" si="3"/>
        <v>89.33602831060594</v>
      </c>
      <c r="S13" s="34">
        <f t="shared" si="3"/>
        <v>89.101296988050606</v>
      </c>
      <c r="T13" s="34">
        <f t="shared" si="3"/>
        <v>88.866565665495273</v>
      </c>
      <c r="U13" s="34">
        <f t="shared" si="3"/>
        <v>88.631834342939953</v>
      </c>
      <c r="V13" s="34">
        <f t="shared" si="3"/>
        <v>88.397103020384634</v>
      </c>
      <c r="W13" s="34">
        <f t="shared" si="3"/>
        <v>88.162371697829315</v>
      </c>
      <c r="X13" s="34">
        <f t="shared" si="3"/>
        <v>87.927640375274009</v>
      </c>
      <c r="Y13" s="34">
        <f t="shared" si="3"/>
        <v>87.692909052718704</v>
      </c>
      <c r="Z13" s="34">
        <f t="shared" si="3"/>
        <v>87.458177730163371</v>
      </c>
    </row>
    <row r="14" spans="1:26">
      <c r="A14" s="70"/>
      <c r="B14" s="48"/>
      <c r="G14"/>
      <c r="I14"/>
    </row>
    <row r="15" spans="1:26">
      <c r="A15" s="70"/>
      <c r="B15" s="53"/>
      <c r="G15"/>
      <c r="I15"/>
    </row>
    <row r="16" spans="1:26">
      <c r="A16" s="5" t="s">
        <v>369</v>
      </c>
      <c r="B16" s="53"/>
      <c r="G16"/>
      <c r="I16"/>
    </row>
    <row r="17" spans="1:26">
      <c r="A17" s="5"/>
      <c r="B17" s="270" t="s">
        <v>606</v>
      </c>
      <c r="C17" s="208">
        <v>0</v>
      </c>
      <c r="E17" s="34">
        <f t="shared" ref="E17:Z17" si="4">SUM(E55:E58)*$B$66</f>
        <v>5514534.4513996178</v>
      </c>
      <c r="F17" s="34">
        <f t="shared" si="4"/>
        <v>5565597.2888207994</v>
      </c>
      <c r="G17" s="34">
        <f t="shared" si="4"/>
        <v>5616660.1262419801</v>
      </c>
      <c r="H17" s="34">
        <f t="shared" si="4"/>
        <v>5667722.9636631608</v>
      </c>
      <c r="I17" s="34">
        <f t="shared" si="4"/>
        <v>5718785.8010843433</v>
      </c>
      <c r="J17" s="34">
        <f t="shared" si="4"/>
        <v>5769848.638505524</v>
      </c>
      <c r="K17" s="34">
        <f t="shared" si="4"/>
        <v>5820911.4759267047</v>
      </c>
      <c r="L17" s="34">
        <f t="shared" si="4"/>
        <v>5805893.1966205277</v>
      </c>
      <c r="M17" s="34">
        <f t="shared" si="4"/>
        <v>5790874.9173143478</v>
      </c>
      <c r="N17" s="34">
        <f t="shared" si="4"/>
        <v>5775856.6380081689</v>
      </c>
      <c r="O17" s="34">
        <f t="shared" si="4"/>
        <v>5760838.3587019918</v>
      </c>
      <c r="P17" s="34">
        <f t="shared" si="4"/>
        <v>5745820.0793958111</v>
      </c>
      <c r="Q17" s="34">
        <f t="shared" si="4"/>
        <v>5730801.8000896312</v>
      </c>
      <c r="R17" s="34">
        <f t="shared" si="4"/>
        <v>5715783.5207834532</v>
      </c>
      <c r="S17" s="34">
        <f t="shared" si="4"/>
        <v>5700765.2414772725</v>
      </c>
      <c r="T17" s="34">
        <f t="shared" si="4"/>
        <v>5685746.9621710926</v>
      </c>
      <c r="U17" s="34">
        <f t="shared" si="4"/>
        <v>5670728.6828649137</v>
      </c>
      <c r="V17" s="34">
        <f t="shared" si="4"/>
        <v>5655710.4035587348</v>
      </c>
      <c r="W17" s="34">
        <f t="shared" si="4"/>
        <v>5640692.1242525568</v>
      </c>
      <c r="X17" s="34">
        <f t="shared" si="4"/>
        <v>5625673.844946376</v>
      </c>
      <c r="Y17" s="34">
        <f t="shared" si="4"/>
        <v>5610655.565640199</v>
      </c>
      <c r="Z17" s="34">
        <f t="shared" si="4"/>
        <v>5595637.2863340182</v>
      </c>
    </row>
    <row r="18" spans="1:26">
      <c r="A18" s="70" t="s">
        <v>370</v>
      </c>
      <c r="B18" s="70" t="s">
        <v>366</v>
      </c>
      <c r="C18" s="298"/>
      <c r="D18" s="34">
        <f>SUM(D55:D58)*$B$66</f>
        <v>5463471.6139784353</v>
      </c>
      <c r="E18" s="298"/>
      <c r="F18" s="298"/>
      <c r="G18" s="298"/>
      <c r="H18" s="298"/>
      <c r="I18" s="298"/>
      <c r="J18" s="298"/>
      <c r="K18" s="298"/>
      <c r="L18" s="298"/>
      <c r="M18" s="298"/>
      <c r="N18" s="298"/>
      <c r="O18" s="298"/>
      <c r="P18" s="298"/>
      <c r="Q18" s="298"/>
      <c r="R18" s="298"/>
      <c r="S18" s="298"/>
      <c r="T18" s="298"/>
      <c r="U18" s="298"/>
      <c r="V18" s="298"/>
      <c r="W18" s="298"/>
      <c r="X18" s="298"/>
      <c r="Y18" s="298"/>
      <c r="Z18" s="298"/>
    </row>
    <row r="19" spans="1:26">
      <c r="A19" s="70"/>
      <c r="B19" s="70" t="s">
        <v>529</v>
      </c>
      <c r="C19" s="298">
        <f>0.5*C26</f>
        <v>0</v>
      </c>
      <c r="D19" s="298">
        <f>0.5*D26</f>
        <v>0</v>
      </c>
      <c r="E19" s="298">
        <f>0.5*E26</f>
        <v>-3477.7417097666407</v>
      </c>
      <c r="F19" s="298">
        <f>0.5*F26</f>
        <v>-3509.9444933531317</v>
      </c>
      <c r="G19" s="298">
        <f t="shared" ref="G19:Z19" si="5">0.5*G26</f>
        <v>-3542.1472769396232</v>
      </c>
      <c r="H19" s="298">
        <f t="shared" si="5"/>
        <v>-3574.3500605261152</v>
      </c>
      <c r="I19" s="298">
        <f t="shared" si="5"/>
        <v>-3606.552844112608</v>
      </c>
      <c r="J19" s="298">
        <f t="shared" si="5"/>
        <v>-3638.7556276990999</v>
      </c>
      <c r="K19" s="298">
        <f t="shared" si="5"/>
        <v>-3670.9584112855914</v>
      </c>
      <c r="L19" s="298">
        <f t="shared" si="5"/>
        <v>-3661.4871319215163</v>
      </c>
      <c r="M19" s="298">
        <f t="shared" si="5"/>
        <v>-3652.0158525574407</v>
      </c>
      <c r="N19" s="298">
        <f t="shared" si="5"/>
        <v>-3642.5445731933655</v>
      </c>
      <c r="O19" s="298">
        <f t="shared" si="5"/>
        <v>-3633.0732938292904</v>
      </c>
      <c r="P19" s="298">
        <f t="shared" si="5"/>
        <v>-3623.6020144652134</v>
      </c>
      <c r="Q19" s="298">
        <f t="shared" si="5"/>
        <v>-3614.1307351011392</v>
      </c>
      <c r="R19" s="298">
        <f t="shared" si="5"/>
        <v>-3604.659455737064</v>
      </c>
      <c r="S19" s="298">
        <f t="shared" si="5"/>
        <v>-3595.1881763729875</v>
      </c>
      <c r="T19" s="298">
        <f t="shared" si="5"/>
        <v>-3585.7168970089124</v>
      </c>
      <c r="U19" s="298">
        <f t="shared" si="5"/>
        <v>-3576.2456176448359</v>
      </c>
      <c r="V19" s="298">
        <f t="shared" si="5"/>
        <v>-3566.7743382807612</v>
      </c>
      <c r="W19" s="298">
        <f t="shared" si="5"/>
        <v>-3557.303058916686</v>
      </c>
      <c r="X19" s="298">
        <f t="shared" si="5"/>
        <v>-3547.8317795526104</v>
      </c>
      <c r="Y19" s="298">
        <f t="shared" si="5"/>
        <v>-3538.3605001885353</v>
      </c>
      <c r="Z19" s="298">
        <f t="shared" si="5"/>
        <v>-3528.8892208244592</v>
      </c>
    </row>
    <row r="20" spans="1:26">
      <c r="A20" s="70" t="s">
        <v>371</v>
      </c>
      <c r="B20" s="70" t="s">
        <v>366</v>
      </c>
      <c r="C20" s="298"/>
      <c r="D20" s="298">
        <v>0</v>
      </c>
      <c r="E20" s="298">
        <f>(E17)+E19</f>
        <v>5511056.7096898509</v>
      </c>
      <c r="F20" s="298">
        <f t="shared" ref="F20:Z20" si="6">(F17)+F19</f>
        <v>5562087.3443274461</v>
      </c>
      <c r="G20" s="298">
        <f t="shared" si="6"/>
        <v>5613117.9789650403</v>
      </c>
      <c r="H20" s="298">
        <f t="shared" si="6"/>
        <v>5664148.6136026345</v>
      </c>
      <c r="I20" s="298">
        <f t="shared" si="6"/>
        <v>5715179.2482402306</v>
      </c>
      <c r="J20" s="298">
        <f t="shared" si="6"/>
        <v>5766209.8828778248</v>
      </c>
      <c r="K20" s="298">
        <f t="shared" si="6"/>
        <v>5817240.5175154191</v>
      </c>
      <c r="L20" s="298">
        <f t="shared" si="6"/>
        <v>5802231.7094886061</v>
      </c>
      <c r="M20" s="298">
        <f t="shared" si="6"/>
        <v>5787222.9014617903</v>
      </c>
      <c r="N20" s="298">
        <f t="shared" si="6"/>
        <v>5772214.0934349755</v>
      </c>
      <c r="O20" s="298">
        <f t="shared" si="6"/>
        <v>5757205.2854081625</v>
      </c>
      <c r="P20" s="298">
        <f t="shared" si="6"/>
        <v>5742196.4773813458</v>
      </c>
      <c r="Q20" s="298">
        <f t="shared" si="6"/>
        <v>5727187.6693545301</v>
      </c>
      <c r="R20" s="298">
        <f t="shared" si="6"/>
        <v>5712178.8613277161</v>
      </c>
      <c r="S20" s="298">
        <f t="shared" si="6"/>
        <v>5697170.0533008995</v>
      </c>
      <c r="T20" s="298">
        <f t="shared" si="6"/>
        <v>5682161.2452740837</v>
      </c>
      <c r="U20" s="298">
        <f t="shared" si="6"/>
        <v>5667152.4372472689</v>
      </c>
      <c r="V20" s="298">
        <f t="shared" si="6"/>
        <v>5652143.629220454</v>
      </c>
      <c r="W20" s="298">
        <f t="shared" si="6"/>
        <v>5637134.8211936401</v>
      </c>
      <c r="X20" s="298">
        <f t="shared" si="6"/>
        <v>5622126.0131668234</v>
      </c>
      <c r="Y20" s="298">
        <f t="shared" si="6"/>
        <v>5607117.2051400105</v>
      </c>
      <c r="Z20" s="298">
        <f t="shared" si="6"/>
        <v>5592108.3971131938</v>
      </c>
    </row>
    <row r="21" spans="1:26">
      <c r="G21"/>
      <c r="I21"/>
    </row>
    <row r="22" spans="1:26">
      <c r="A22" s="70"/>
      <c r="G22"/>
      <c r="I22"/>
    </row>
    <row r="23" spans="1:26">
      <c r="A23" s="70"/>
      <c r="B23" s="58" t="s">
        <v>436</v>
      </c>
      <c r="G23"/>
      <c r="I23"/>
    </row>
    <row r="24" spans="1:26">
      <c r="B24" s="78" t="s">
        <v>505</v>
      </c>
      <c r="C24" s="298">
        <f>C6+C7+C12+C13</f>
        <v>0</v>
      </c>
      <c r="D24" s="298">
        <f t="shared" ref="D24:Z24" si="7">D6+D7+D12+D13</f>
        <v>0</v>
      </c>
      <c r="E24" s="298">
        <f t="shared" si="7"/>
        <v>11592.472365888802</v>
      </c>
      <c r="F24" s="298">
        <f t="shared" si="7"/>
        <v>11699.814977843773</v>
      </c>
      <c r="G24" s="298">
        <f t="shared" si="7"/>
        <v>11807.157589798744</v>
      </c>
      <c r="H24" s="298">
        <f t="shared" si="7"/>
        <v>11914.500201753717</v>
      </c>
      <c r="I24" s="298">
        <f t="shared" si="7"/>
        <v>12021.842813708694</v>
      </c>
      <c r="J24" s="298">
        <f t="shared" si="7"/>
        <v>12129.185425663667</v>
      </c>
      <c r="K24" s="298">
        <f t="shared" si="7"/>
        <v>12236.528037618637</v>
      </c>
      <c r="L24" s="298">
        <f t="shared" si="7"/>
        <v>12204.957106405056</v>
      </c>
      <c r="M24" s="298">
        <f t="shared" si="7"/>
        <v>12173.38617519147</v>
      </c>
      <c r="N24" s="298">
        <f t="shared" si="7"/>
        <v>12141.815243977884</v>
      </c>
      <c r="O24" s="298">
        <f t="shared" si="7"/>
        <v>12110.244312764302</v>
      </c>
      <c r="P24" s="298">
        <f t="shared" si="7"/>
        <v>12078.67338155071</v>
      </c>
      <c r="Q24" s="298">
        <f t="shared" si="7"/>
        <v>12047.10245033713</v>
      </c>
      <c r="R24" s="298">
        <f t="shared" si="7"/>
        <v>12015.531519123548</v>
      </c>
      <c r="S24" s="298">
        <f t="shared" si="7"/>
        <v>11983.960587909958</v>
      </c>
      <c r="T24" s="298">
        <f t="shared" si="7"/>
        <v>11952.389656696376</v>
      </c>
      <c r="U24" s="298">
        <f t="shared" si="7"/>
        <v>11920.818725482786</v>
      </c>
      <c r="V24" s="298">
        <f t="shared" si="7"/>
        <v>11889.247794269202</v>
      </c>
      <c r="W24" s="298">
        <f t="shared" si="7"/>
        <v>11857.676863055622</v>
      </c>
      <c r="X24" s="298">
        <f t="shared" si="7"/>
        <v>11826.105931842034</v>
      </c>
      <c r="Y24" s="298">
        <f t="shared" si="7"/>
        <v>11794.535000628453</v>
      </c>
      <c r="Z24" s="298">
        <f t="shared" si="7"/>
        <v>11762.964069414864</v>
      </c>
    </row>
    <row r="25" spans="1:26">
      <c r="B25" s="78" t="s">
        <v>506</v>
      </c>
      <c r="C25" s="418"/>
      <c r="D25" s="298"/>
      <c r="E25" s="298">
        <f>-E24*$A$57</f>
        <v>-2137.2153277247753</v>
      </c>
      <c r="F25" s="298">
        <f t="shared" ref="F25:Z25" si="8">-F24*$A$57</f>
        <v>-2157.0052628091353</v>
      </c>
      <c r="G25" s="298">
        <f t="shared" si="8"/>
        <v>-2176.7951978934952</v>
      </c>
      <c r="H25" s="298">
        <f t="shared" si="8"/>
        <v>-2196.5851329778557</v>
      </c>
      <c r="I25" s="298">
        <f t="shared" si="8"/>
        <v>-2216.375068062217</v>
      </c>
      <c r="J25" s="298">
        <f t="shared" si="8"/>
        <v>-2236.1650031465774</v>
      </c>
      <c r="K25" s="298">
        <f t="shared" si="8"/>
        <v>-2255.9549382309369</v>
      </c>
      <c r="L25" s="298">
        <f t="shared" si="8"/>
        <v>-2250.1344474874136</v>
      </c>
      <c r="M25" s="298">
        <f t="shared" si="8"/>
        <v>-2244.3139567438889</v>
      </c>
      <c r="N25" s="298">
        <f t="shared" si="8"/>
        <v>-2238.4934660003642</v>
      </c>
      <c r="O25" s="298">
        <f t="shared" si="8"/>
        <v>-2232.6729752568403</v>
      </c>
      <c r="P25" s="298">
        <f t="shared" si="8"/>
        <v>-2226.8524845133147</v>
      </c>
      <c r="Q25" s="298">
        <f t="shared" si="8"/>
        <v>-2221.0319937697909</v>
      </c>
      <c r="R25" s="298">
        <f t="shared" si="8"/>
        <v>-2215.2115030262671</v>
      </c>
      <c r="S25" s="298">
        <f t="shared" si="8"/>
        <v>-2209.3910122827419</v>
      </c>
      <c r="T25" s="298">
        <f t="shared" si="8"/>
        <v>-2203.5705215392181</v>
      </c>
      <c r="U25" s="298">
        <f t="shared" si="8"/>
        <v>-2197.7500307956925</v>
      </c>
      <c r="V25" s="298">
        <f t="shared" si="8"/>
        <v>-2191.9295400521682</v>
      </c>
      <c r="W25" s="298">
        <f t="shared" si="8"/>
        <v>-2186.1090493086449</v>
      </c>
      <c r="X25" s="298">
        <f t="shared" si="8"/>
        <v>-2180.2885585651197</v>
      </c>
      <c r="Y25" s="298">
        <f t="shared" si="8"/>
        <v>-2174.4680678215964</v>
      </c>
      <c r="Z25" s="298">
        <f t="shared" si="8"/>
        <v>-2168.6475770780712</v>
      </c>
    </row>
    <row r="26" spans="1:26">
      <c r="B26" s="78" t="s">
        <v>507</v>
      </c>
      <c r="C26" s="298">
        <f>-(C6+C12)</f>
        <v>0</v>
      </c>
      <c r="D26" s="298">
        <f t="shared" ref="D26:Z26" si="9">-(D6+D12)</f>
        <v>0</v>
      </c>
      <c r="E26" s="298">
        <f t="shared" si="9"/>
        <v>-6955.4834195332814</v>
      </c>
      <c r="F26" s="298">
        <f t="shared" si="9"/>
        <v>-7019.8889867062635</v>
      </c>
      <c r="G26" s="298">
        <f t="shared" si="9"/>
        <v>-7084.2945538792465</v>
      </c>
      <c r="H26" s="298">
        <f t="shared" si="9"/>
        <v>-7148.7001210522303</v>
      </c>
      <c r="I26" s="298">
        <f t="shared" si="9"/>
        <v>-7213.105688225216</v>
      </c>
      <c r="J26" s="298">
        <f t="shared" si="9"/>
        <v>-7277.5112553981999</v>
      </c>
      <c r="K26" s="298">
        <f t="shared" si="9"/>
        <v>-7341.9168225711828</v>
      </c>
      <c r="L26" s="298">
        <f t="shared" si="9"/>
        <v>-7322.9742638430325</v>
      </c>
      <c r="M26" s="298">
        <f t="shared" si="9"/>
        <v>-7304.0317051148813</v>
      </c>
      <c r="N26" s="298">
        <f t="shared" si="9"/>
        <v>-7285.089146386731</v>
      </c>
      <c r="O26" s="298">
        <f t="shared" si="9"/>
        <v>-7266.1465876585808</v>
      </c>
      <c r="P26" s="298">
        <f t="shared" si="9"/>
        <v>-7247.2040289304268</v>
      </c>
      <c r="Q26" s="298">
        <f t="shared" si="9"/>
        <v>-7228.2614702022784</v>
      </c>
      <c r="R26" s="298">
        <f t="shared" si="9"/>
        <v>-7209.3189114741281</v>
      </c>
      <c r="S26" s="298">
        <f t="shared" si="9"/>
        <v>-7190.3763527459751</v>
      </c>
      <c r="T26" s="298">
        <f t="shared" si="9"/>
        <v>-7171.4337940178248</v>
      </c>
      <c r="U26" s="298">
        <f t="shared" si="9"/>
        <v>-7152.4912352896717</v>
      </c>
      <c r="V26" s="298">
        <f t="shared" si="9"/>
        <v>-7133.5486765615224</v>
      </c>
      <c r="W26" s="298">
        <f t="shared" si="9"/>
        <v>-7114.6061178333721</v>
      </c>
      <c r="X26" s="298">
        <f t="shared" si="9"/>
        <v>-7095.6635591052209</v>
      </c>
      <c r="Y26" s="298">
        <f t="shared" si="9"/>
        <v>-7076.7210003770706</v>
      </c>
      <c r="Z26" s="298">
        <f t="shared" si="9"/>
        <v>-7057.7784416489185</v>
      </c>
    </row>
    <row r="27" spans="1:26">
      <c r="B27" s="78" t="s">
        <v>508</v>
      </c>
      <c r="C27" s="298">
        <f>-('Mode Operating Assumptions'!$C$27*(C6+C12))</f>
        <v>0</v>
      </c>
      <c r="D27" s="298">
        <f>-('Mode Operating Assumptions'!$C$27*(D6+D12))</f>
        <v>0</v>
      </c>
      <c r="E27" s="298">
        <f>-('Mode Operating Assumptions'!$C$27*(E6+E12))</f>
        <v>-45210.642226966331</v>
      </c>
      <c r="F27" s="298">
        <f>-('Mode Operating Assumptions'!$C$27*(F6+F12))</f>
        <v>-45629.278413590713</v>
      </c>
      <c r="G27" s="298">
        <f>-('Mode Operating Assumptions'!$C$27*(G6+G12))</f>
        <v>-46047.914600215103</v>
      </c>
      <c r="H27" s="298">
        <f>-('Mode Operating Assumptions'!$C$27*(H6+H12))</f>
        <v>-46466.5507868395</v>
      </c>
      <c r="I27" s="298">
        <f>-('Mode Operating Assumptions'!$C$27*(I6+I12))</f>
        <v>-46885.186973463904</v>
      </c>
      <c r="J27" s="298">
        <f>-('Mode Operating Assumptions'!$C$27*(J6+J12))</f>
        <v>-47303.823160088301</v>
      </c>
      <c r="K27" s="298">
        <f>-('Mode Operating Assumptions'!$C$27*(K6+K12))</f>
        <v>-47722.459346712691</v>
      </c>
      <c r="L27" s="298">
        <f>-('Mode Operating Assumptions'!$C$27*(L6+L12))</f>
        <v>-47599.332714979711</v>
      </c>
      <c r="M27" s="298">
        <f>-('Mode Operating Assumptions'!$C$27*(M6+M12))</f>
        <v>-47476.206083246725</v>
      </c>
      <c r="N27" s="298">
        <f>-('Mode Operating Assumptions'!$C$27*(N6+N12))</f>
        <v>-47353.079451513753</v>
      </c>
      <c r="O27" s="298">
        <f>-('Mode Operating Assumptions'!$C$27*(O6+O12))</f>
        <v>-47229.952819780774</v>
      </c>
      <c r="P27" s="298">
        <f>-('Mode Operating Assumptions'!$C$27*(P6+P12))</f>
        <v>-47106.826188047773</v>
      </c>
      <c r="Q27" s="298">
        <f>-('Mode Operating Assumptions'!$C$27*(Q6+Q12))</f>
        <v>-46983.699556314808</v>
      </c>
      <c r="R27" s="298">
        <f>-('Mode Operating Assumptions'!$C$27*(R6+R12))</f>
        <v>-46860.572924581829</v>
      </c>
      <c r="S27" s="298">
        <f>-('Mode Operating Assumptions'!$C$27*(S6+S12))</f>
        <v>-46737.446292848836</v>
      </c>
      <c r="T27" s="298">
        <f>-('Mode Operating Assumptions'!$C$27*(T6+T12))</f>
        <v>-46614.319661115864</v>
      </c>
      <c r="U27" s="298">
        <f>-('Mode Operating Assumptions'!$C$27*(U6+U12))</f>
        <v>-46491.193029382863</v>
      </c>
      <c r="V27" s="298">
        <f>-('Mode Operating Assumptions'!$C$27*(V6+V12))</f>
        <v>-46368.066397649898</v>
      </c>
      <c r="W27" s="298">
        <f>-('Mode Operating Assumptions'!$C$27*(W6+W12))</f>
        <v>-46244.939765916919</v>
      </c>
      <c r="X27" s="298">
        <f>-('Mode Operating Assumptions'!$C$27*(X6+X12))</f>
        <v>-46121.813134183933</v>
      </c>
      <c r="Y27" s="298">
        <f>-('Mode Operating Assumptions'!$C$27*(Y6+Y12))</f>
        <v>-45998.686502450961</v>
      </c>
      <c r="Z27" s="298">
        <f>-('Mode Operating Assumptions'!$C$27*(Z6+Z12))</f>
        <v>-45875.559870717967</v>
      </c>
    </row>
    <row r="28" spans="1:26">
      <c r="A28" s="70"/>
      <c r="B28" s="54" t="s">
        <v>509</v>
      </c>
      <c r="C28" s="246">
        <f>-(C27*'Mode Operating Assumptions'!$C$8/'Mode Operating Assumptions'!C11)</f>
        <v>0</v>
      </c>
      <c r="D28" s="246">
        <f>-(D27*'Mode Operating Assumptions'!$C$8/'Mode Operating Assumptions'!D11)</f>
        <v>0</v>
      </c>
      <c r="E28" s="246">
        <f>-(E27*'Mode Operating Assumptions'!$C$8/'Mode Operating Assumptions'!E11)</f>
        <v>7787.5944565499867</v>
      </c>
      <c r="F28" s="246">
        <f>-(F27*'Mode Operating Assumptions'!$C$8/'Mode Operating Assumptions'!F11)</f>
        <v>7686.4748614553946</v>
      </c>
      <c r="G28" s="246">
        <f>-(G27*'Mode Operating Assumptions'!$C$8/'Mode Operating Assumptions'!G11)</f>
        <v>7589.7165543778956</v>
      </c>
      <c r="H28" s="246">
        <f>-(H27*'Mode Operating Assumptions'!$C$8/'Mode Operating Assumptions'!H11)</f>
        <v>7497.0433379921051</v>
      </c>
      <c r="I28" s="246">
        <f>-(I27*'Mode Operating Assumptions'!$C$8/'Mode Operating Assumptions'!I11)</f>
        <v>7408.2018546768577</v>
      </c>
      <c r="J28" s="246">
        <f>-(J27*'Mode Operating Assumptions'!$C$8/'Mode Operating Assumptions'!J11)</f>
        <v>7322.9592734668231</v>
      </c>
      <c r="K28" s="246">
        <f>-(K27*'Mode Operating Assumptions'!$C$8/'Mode Operating Assumptions'!K11)</f>
        <v>7241.1012525231854</v>
      </c>
      <c r="L28" s="246">
        <f>-(L27*'Mode Operating Assumptions'!$C$8/'Mode Operating Assumptions'!L11)</f>
        <v>7218.5941939437007</v>
      </c>
      <c r="M28" s="246">
        <f>-(M27*'Mode Operating Assumptions'!$C$8/'Mode Operating Assumptions'!M11)</f>
        <v>7196.1109598355461</v>
      </c>
      <c r="N28" s="246">
        <f>-(N27*'Mode Operating Assumptions'!$C$8/'Mode Operating Assumptions'!N11)</f>
        <v>7173.6515123902373</v>
      </c>
      <c r="O28" s="246">
        <f>-(O27*'Mode Operating Assumptions'!$C$8/'Mode Operating Assumptions'!O11)</f>
        <v>7151.2158138792483</v>
      </c>
      <c r="P28" s="246">
        <f>-(P27*'Mode Operating Assumptions'!$C$8/'Mode Operating Assumptions'!P11)</f>
        <v>7128.803826653796</v>
      </c>
      <c r="Q28" s="246">
        <f>-(Q27*'Mode Operating Assumptions'!$C$8/'Mode Operating Assumptions'!Q11)</f>
        <v>7106.4155131446469</v>
      </c>
      <c r="R28" s="246">
        <f>-(R27*'Mode Operating Assumptions'!$C$8/'Mode Operating Assumptions'!R11)</f>
        <v>7084.050835861879</v>
      </c>
      <c r="S28" s="246">
        <f>-(S27*'Mode Operating Assumptions'!$C$8/'Mode Operating Assumptions'!S11)</f>
        <v>7061.7097573946958</v>
      </c>
      <c r="T28" s="246">
        <f>-(T27*'Mode Operating Assumptions'!$C$8/'Mode Operating Assumptions'!T11)</f>
        <v>7039.3922404112118</v>
      </c>
      <c r="U28" s="246">
        <f>-(U27*'Mode Operating Assumptions'!$C$8/'Mode Operating Assumptions'!U11)</f>
        <v>7017.0982476582303</v>
      </c>
      <c r="V28" s="246">
        <f>-(V27*'Mode Operating Assumptions'!$C$8/'Mode Operating Assumptions'!V11)</f>
        <v>6994.8277419610667</v>
      </c>
      <c r="W28" s="246">
        <f>-(W27*'Mode Operating Assumptions'!$C$8/'Mode Operating Assumptions'!W11)</f>
        <v>6972.5806862233094</v>
      </c>
      <c r="X28" s="246">
        <f>-(X27*'Mode Operating Assumptions'!$C$8/'Mode Operating Assumptions'!X11)</f>
        <v>6950.3570434266294</v>
      </c>
      <c r="Y28" s="246">
        <f>-(Y27*'Mode Operating Assumptions'!$C$8/'Mode Operating Assumptions'!Y11)</f>
        <v>6928.1567766305798</v>
      </c>
      <c r="Z28" s="246">
        <f>-(Z27*'Mode Operating Assumptions'!$C$8/'Mode Operating Assumptions'!Z11)</f>
        <v>6905.9798489723762</v>
      </c>
    </row>
    <row r="29" spans="1:26">
      <c r="A29" s="70"/>
      <c r="B29" s="54"/>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row>
    <row r="30" spans="1:26">
      <c r="A30" s="70"/>
      <c r="B30" s="54"/>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row>
    <row r="31" spans="1:26">
      <c r="A31" s="70"/>
      <c r="B31" s="54"/>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26">
      <c r="A32" s="70"/>
      <c r="B32" s="54"/>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row>
    <row r="33" spans="1:26">
      <c r="A33" s="70"/>
      <c r="B33" s="54"/>
      <c r="C33" s="246"/>
      <c r="D33" s="246"/>
      <c r="E33" s="246"/>
      <c r="F33" s="246"/>
      <c r="G33" s="246"/>
      <c r="H33" s="246"/>
      <c r="I33" s="246"/>
      <c r="J33" s="246"/>
      <c r="K33" s="246"/>
      <c r="L33" s="246"/>
      <c r="M33" s="246"/>
      <c r="N33" s="246"/>
      <c r="O33" s="246"/>
      <c r="P33" s="246"/>
      <c r="Q33" s="246"/>
      <c r="R33" s="246"/>
      <c r="S33" s="246"/>
      <c r="T33" s="246"/>
      <c r="U33" s="246"/>
      <c r="V33" s="246"/>
      <c r="W33" s="246"/>
      <c r="X33" s="246"/>
      <c r="Y33" s="246"/>
      <c r="Z33" s="246"/>
    </row>
    <row r="34" spans="1:26">
      <c r="A34" s="70"/>
      <c r="B34" s="54"/>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row>
    <row r="35" spans="1:26">
      <c r="G35"/>
      <c r="I35"/>
    </row>
    <row r="36" spans="1:26" s="400" customFormat="1" ht="11.25">
      <c r="A36" s="521" t="s">
        <v>251</v>
      </c>
      <c r="B36" s="523" t="s">
        <v>256</v>
      </c>
      <c r="C36" s="524"/>
      <c r="D36" s="524"/>
      <c r="E36" s="525"/>
      <c r="F36" s="523" t="s">
        <v>257</v>
      </c>
      <c r="G36" s="524"/>
      <c r="H36" s="524"/>
      <c r="I36" s="525"/>
    </row>
    <row r="37" spans="1:26" s="400" customFormat="1" ht="12" thickBot="1">
      <c r="A37" s="522"/>
      <c r="B37" s="151">
        <v>2005</v>
      </c>
      <c r="C37" s="152">
        <v>2010</v>
      </c>
      <c r="D37" s="152">
        <v>2020</v>
      </c>
      <c r="E37" s="153">
        <v>2030</v>
      </c>
      <c r="F37" s="151">
        <v>2005</v>
      </c>
      <c r="G37" s="152">
        <v>2010</v>
      </c>
      <c r="H37" s="152">
        <v>2020</v>
      </c>
      <c r="I37" s="153">
        <v>2030</v>
      </c>
    </row>
    <row r="38" spans="1:26">
      <c r="A38" s="424" t="s">
        <v>592</v>
      </c>
      <c r="B38" s="421">
        <v>9032.5238095238092</v>
      </c>
      <c r="C38" s="422">
        <v>9797.8790921224027</v>
      </c>
      <c r="D38" s="422">
        <v>10711.189789450818</v>
      </c>
      <c r="E38" s="423">
        <v>10412.579420432847</v>
      </c>
      <c r="F38" s="421">
        <v>8983.761904761901</v>
      </c>
      <c r="G38" s="422">
        <v>9763.5815666061408</v>
      </c>
      <c r="H38" s="422">
        <v>10731.269803242145</v>
      </c>
      <c r="I38" s="423">
        <v>10476.652643364812</v>
      </c>
    </row>
    <row r="39" spans="1:26">
      <c r="D39">
        <f>(D38-C38)/10</f>
        <v>91.33106973284157</v>
      </c>
      <c r="E39">
        <f>(E38-D38)/10</f>
        <v>-29.86103690179716</v>
      </c>
      <c r="H39">
        <f>(H38-G38)/10</f>
        <v>96.768823663600415</v>
      </c>
      <c r="I39">
        <f>(I38-H38)/10</f>
        <v>-25.46171598773326</v>
      </c>
    </row>
    <row r="40" spans="1:26">
      <c r="D40" s="128">
        <f>D39/C38</f>
        <v>9.3215142659060484E-3</v>
      </c>
      <c r="E40" s="128">
        <f>E39/D38</f>
        <v>-2.7878356642701396E-3</v>
      </c>
      <c r="F40" s="128"/>
      <c r="G40" s="401"/>
      <c r="H40" s="128">
        <f>H39/G38</f>
        <v>9.9112014380638436E-3</v>
      </c>
      <c r="I40" s="128">
        <f>I39/H38</f>
        <v>-2.3726657193951766E-3</v>
      </c>
    </row>
    <row r="41" spans="1:26">
      <c r="D41" s="128"/>
      <c r="E41" s="128"/>
      <c r="F41" s="128"/>
      <c r="G41" s="401"/>
      <c r="H41" s="128"/>
      <c r="I41" s="128"/>
    </row>
    <row r="42" spans="1:26">
      <c r="C42" s="75">
        <v>2012</v>
      </c>
      <c r="D42" s="75">
        <v>2013</v>
      </c>
      <c r="E42" s="75">
        <v>2014</v>
      </c>
      <c r="F42" s="75">
        <v>2015</v>
      </c>
      <c r="G42" s="75">
        <v>2016</v>
      </c>
      <c r="H42" s="75">
        <v>2017</v>
      </c>
      <c r="I42" s="75">
        <v>2018</v>
      </c>
      <c r="J42" s="75">
        <v>2019</v>
      </c>
      <c r="K42" s="75">
        <v>2020</v>
      </c>
      <c r="L42" s="75">
        <v>2021</v>
      </c>
      <c r="M42" s="75">
        <v>2022</v>
      </c>
      <c r="N42" s="75">
        <v>2023</v>
      </c>
      <c r="O42" s="75">
        <v>2024</v>
      </c>
      <c r="P42" s="75">
        <v>2025</v>
      </c>
      <c r="Q42" s="75">
        <v>2026</v>
      </c>
      <c r="R42" s="75">
        <v>2027</v>
      </c>
      <c r="S42" s="75">
        <v>2028</v>
      </c>
      <c r="T42" s="75">
        <v>2029</v>
      </c>
      <c r="U42" s="75">
        <v>2030</v>
      </c>
      <c r="V42" s="75">
        <v>2031</v>
      </c>
      <c r="W42" s="75">
        <v>2032</v>
      </c>
      <c r="X42" s="75">
        <v>2033</v>
      </c>
      <c r="Y42" s="75">
        <v>2034</v>
      </c>
      <c r="Z42" s="75">
        <v>2035</v>
      </c>
    </row>
    <row r="43" spans="1:26">
      <c r="C43" s="75" t="s">
        <v>18</v>
      </c>
      <c r="D43" s="72" t="s">
        <v>19</v>
      </c>
      <c r="E43" s="72" t="s">
        <v>20</v>
      </c>
      <c r="F43" s="72" t="s">
        <v>21</v>
      </c>
      <c r="G43" s="72" t="s">
        <v>22</v>
      </c>
      <c r="H43" s="72" t="s">
        <v>23</v>
      </c>
      <c r="I43" s="72" t="s">
        <v>24</v>
      </c>
      <c r="J43" s="72" t="s">
        <v>25</v>
      </c>
      <c r="K43" s="72" t="s">
        <v>26</v>
      </c>
      <c r="L43" s="72" t="s">
        <v>27</v>
      </c>
      <c r="M43" s="72" t="s">
        <v>28</v>
      </c>
      <c r="N43" s="72" t="s">
        <v>29</v>
      </c>
      <c r="O43" s="72" t="s">
        <v>30</v>
      </c>
      <c r="P43" s="72" t="s">
        <v>31</v>
      </c>
      <c r="Q43" s="72" t="s">
        <v>32</v>
      </c>
      <c r="R43" s="72" t="s">
        <v>33</v>
      </c>
      <c r="S43" s="72" t="s">
        <v>34</v>
      </c>
      <c r="T43" s="72" t="s">
        <v>35</v>
      </c>
      <c r="U43" s="72" t="s">
        <v>36</v>
      </c>
      <c r="V43" s="72" t="s">
        <v>123</v>
      </c>
      <c r="W43" s="72" t="s">
        <v>245</v>
      </c>
      <c r="X43" s="72" t="s">
        <v>246</v>
      </c>
      <c r="Y43" s="72" t="s">
        <v>247</v>
      </c>
      <c r="Z43" s="72" t="s">
        <v>248</v>
      </c>
    </row>
    <row r="44" spans="1:26">
      <c r="B44" s="26" t="s">
        <v>267</v>
      </c>
      <c r="C44" s="402">
        <f>$C$38*(1+($D$40*(C42-2010)))+$G$38*(1+($H$40*(C42-2010)))</f>
        <v>19937.660445521426</v>
      </c>
      <c r="D44" s="402">
        <f t="shared" ref="D44:J44" si="10">$C$38*(1+($D$40*(D42-2010)))+$G$38*(1+($H$40*(D42-2010)))</f>
        <v>20125.760338917869</v>
      </c>
      <c r="E44" s="402">
        <f t="shared" si="10"/>
        <v>20313.860232314313</v>
      </c>
      <c r="F44" s="402">
        <f t="shared" si="10"/>
        <v>20501.960125710753</v>
      </c>
      <c r="G44" s="402">
        <f t="shared" si="10"/>
        <v>20690.060019107194</v>
      </c>
      <c r="H44" s="402">
        <f t="shared" si="10"/>
        <v>20878.159912503637</v>
      </c>
      <c r="I44" s="402">
        <f t="shared" si="10"/>
        <v>21066.259805900081</v>
      </c>
      <c r="J44" s="402">
        <f t="shared" si="10"/>
        <v>21254.359699296521</v>
      </c>
      <c r="K44" s="164">
        <f>H38+D38</f>
        <v>21442.459592692961</v>
      </c>
      <c r="L44" s="402">
        <f>$D$38*(1+($E$40*(L42-2020)))+$H$38*(1+($I$40*(L42-2020)))</f>
        <v>21387.136839803432</v>
      </c>
      <c r="M44" s="402">
        <f t="shared" ref="M44:Z44" si="11">$D$38*(1+($E$40*(M42-2020)))+$H$38*(1+($I$40*(M42-2020)))</f>
        <v>21331.814086913902</v>
      </c>
      <c r="N44" s="402">
        <f t="shared" si="11"/>
        <v>21276.491334024373</v>
      </c>
      <c r="O44" s="402">
        <f t="shared" si="11"/>
        <v>21221.168581134843</v>
      </c>
      <c r="P44" s="402">
        <f t="shared" si="11"/>
        <v>21165.84582824531</v>
      </c>
      <c r="Q44" s="402">
        <f t="shared" si="11"/>
        <v>21110.523075355784</v>
      </c>
      <c r="R44" s="402">
        <f t="shared" si="11"/>
        <v>21055.200322466251</v>
      </c>
      <c r="S44" s="402">
        <f t="shared" si="11"/>
        <v>20999.877569576718</v>
      </c>
      <c r="T44" s="402">
        <f t="shared" si="11"/>
        <v>20944.554816687189</v>
      </c>
      <c r="U44" s="402">
        <f t="shared" si="11"/>
        <v>20889.232063797659</v>
      </c>
      <c r="V44" s="402">
        <f t="shared" si="11"/>
        <v>20833.90931090813</v>
      </c>
      <c r="W44" s="402">
        <f t="shared" si="11"/>
        <v>20778.5865580186</v>
      </c>
      <c r="X44" s="402">
        <f t="shared" si="11"/>
        <v>20723.263805129071</v>
      </c>
      <c r="Y44" s="402">
        <f t="shared" si="11"/>
        <v>20667.941052239541</v>
      </c>
      <c r="Z44" s="402">
        <f t="shared" si="11"/>
        <v>20612.618299350008</v>
      </c>
    </row>
    <row r="45" spans="1:26">
      <c r="U45" s="417">
        <f>I38+E38</f>
        <v>20889.232063797659</v>
      </c>
    </row>
    <row r="47" spans="1:26" s="174" customFormat="1">
      <c r="A47" s="173" t="s">
        <v>290</v>
      </c>
      <c r="B47" s="173" t="s">
        <v>272</v>
      </c>
      <c r="C47" s="173" t="s">
        <v>273</v>
      </c>
      <c r="D47" s="173" t="s">
        <v>274</v>
      </c>
      <c r="E47" s="173" t="s">
        <v>275</v>
      </c>
      <c r="F47" s="173" t="s">
        <v>276</v>
      </c>
      <c r="G47" s="173" t="s">
        <v>277</v>
      </c>
      <c r="H47" s="173" t="s">
        <v>278</v>
      </c>
      <c r="I47" s="173" t="s">
        <v>279</v>
      </c>
      <c r="J47" s="173" t="s">
        <v>280</v>
      </c>
      <c r="K47" s="173" t="s">
        <v>281</v>
      </c>
      <c r="L47" s="173" t="s">
        <v>282</v>
      </c>
      <c r="M47" s="173" t="s">
        <v>283</v>
      </c>
      <c r="N47" s="173" t="s">
        <v>284</v>
      </c>
      <c r="O47" s="173" t="s">
        <v>285</v>
      </c>
      <c r="P47" s="173" t="s">
        <v>286</v>
      </c>
      <c r="Q47" s="173" t="s">
        <v>287</v>
      </c>
      <c r="R47" s="173" t="s">
        <v>288</v>
      </c>
    </row>
    <row r="48" spans="1:26" s="419" customFormat="1">
      <c r="A48" s="405" t="s">
        <v>587</v>
      </c>
      <c r="B48" s="406">
        <v>10420.929370000185</v>
      </c>
      <c r="C48" s="172"/>
      <c r="D48" s="406">
        <v>300.09085000000016</v>
      </c>
      <c r="E48" s="172"/>
      <c r="F48" s="406">
        <v>1311.6085300000018</v>
      </c>
      <c r="G48" s="406">
        <v>18.423090000000002</v>
      </c>
      <c r="H48" s="406">
        <v>21.375</v>
      </c>
      <c r="I48" s="406">
        <v>5648.1189399999785</v>
      </c>
      <c r="J48" s="172"/>
      <c r="K48" s="172"/>
      <c r="L48" s="406">
        <v>1723.4434600000022</v>
      </c>
      <c r="M48" s="172"/>
      <c r="N48" s="406">
        <v>81.688389999999998</v>
      </c>
      <c r="O48" s="406">
        <v>94.720069999999993</v>
      </c>
      <c r="P48" s="406">
        <v>135.56850000000006</v>
      </c>
      <c r="Q48" s="406">
        <v>113.16694</v>
      </c>
      <c r="R48" s="406">
        <v>972.7255999999993</v>
      </c>
    </row>
    <row r="49" spans="1:26">
      <c r="D49" s="128">
        <f>D48/$B48</f>
        <v>2.8796937331127388E-2</v>
      </c>
      <c r="E49" s="128">
        <f>E48/$B48</f>
        <v>0</v>
      </c>
      <c r="F49" s="128">
        <f t="shared" ref="F49:R49" si="12">F48/$B48</f>
        <v>0.12586291331902372</v>
      </c>
      <c r="G49" s="128">
        <f t="shared" si="12"/>
        <v>1.7678931835999646E-3</v>
      </c>
      <c r="H49" s="128">
        <f t="shared" si="12"/>
        <v>2.0511606250335442E-3</v>
      </c>
      <c r="I49" s="128">
        <f t="shared" si="12"/>
        <v>0.54199762223317693</v>
      </c>
      <c r="J49" s="128">
        <f t="shared" si="12"/>
        <v>0</v>
      </c>
      <c r="K49" s="128">
        <f t="shared" si="12"/>
        <v>0</v>
      </c>
      <c r="L49" s="128">
        <f t="shared" si="12"/>
        <v>0.16538289425139552</v>
      </c>
      <c r="M49" s="128">
        <f t="shared" si="12"/>
        <v>0</v>
      </c>
      <c r="N49" s="128">
        <f t="shared" si="12"/>
        <v>7.8388776182635751E-3</v>
      </c>
      <c r="O49" s="128">
        <f t="shared" si="12"/>
        <v>9.0894071571658974E-3</v>
      </c>
      <c r="P49" s="128">
        <f t="shared" si="12"/>
        <v>1.3009252359993459E-2</v>
      </c>
      <c r="Q49" s="128">
        <f t="shared" si="12"/>
        <v>1.085958228694894E-2</v>
      </c>
      <c r="R49" s="128">
        <f t="shared" si="12"/>
        <v>9.3343459634251599E-2</v>
      </c>
    </row>
    <row r="50" spans="1:26" ht="15">
      <c r="B50" s="138" t="s">
        <v>289</v>
      </c>
      <c r="G50"/>
      <c r="I50"/>
    </row>
    <row r="51" spans="1:26">
      <c r="C51" s="75">
        <v>2012</v>
      </c>
      <c r="D51" s="75">
        <v>2013</v>
      </c>
      <c r="E51" s="75">
        <v>2014</v>
      </c>
      <c r="F51" s="75">
        <v>2015</v>
      </c>
      <c r="G51" s="75">
        <v>2016</v>
      </c>
      <c r="H51" s="75">
        <v>2017</v>
      </c>
      <c r="I51" s="75">
        <v>2018</v>
      </c>
      <c r="J51" s="75">
        <v>2019</v>
      </c>
      <c r="K51" s="75">
        <v>2020</v>
      </c>
      <c r="L51" s="75">
        <v>2021</v>
      </c>
      <c r="M51" s="75">
        <v>2022</v>
      </c>
      <c r="N51" s="75">
        <v>2023</v>
      </c>
      <c r="O51" s="75">
        <v>2024</v>
      </c>
      <c r="P51" s="75">
        <v>2025</v>
      </c>
      <c r="Q51" s="75">
        <v>2026</v>
      </c>
      <c r="R51" s="75">
        <v>2027</v>
      </c>
      <c r="S51" s="75">
        <v>2028</v>
      </c>
      <c r="T51" s="75">
        <v>2029</v>
      </c>
      <c r="U51" s="75">
        <v>2030</v>
      </c>
      <c r="V51" s="75">
        <v>2031</v>
      </c>
      <c r="W51" s="75">
        <v>2032</v>
      </c>
      <c r="X51" s="75">
        <v>2033</v>
      </c>
      <c r="Y51" s="75">
        <v>2034</v>
      </c>
      <c r="Z51" s="75">
        <v>2035</v>
      </c>
    </row>
    <row r="52" spans="1:26">
      <c r="C52" s="75" t="s">
        <v>18</v>
      </c>
      <c r="D52" s="72" t="s">
        <v>19</v>
      </c>
      <c r="E52" s="72" t="s">
        <v>20</v>
      </c>
      <c r="F52" s="72" t="s">
        <v>21</v>
      </c>
      <c r="G52" s="72" t="s">
        <v>22</v>
      </c>
      <c r="H52" s="72" t="s">
        <v>23</v>
      </c>
      <c r="I52" s="72" t="s">
        <v>24</v>
      </c>
      <c r="J52" s="72" t="s">
        <v>25</v>
      </c>
      <c r="K52" s="72" t="s">
        <v>26</v>
      </c>
      <c r="L52" s="72" t="s">
        <v>27</v>
      </c>
      <c r="M52" s="72" t="s">
        <v>28</v>
      </c>
      <c r="N52" s="72" t="s">
        <v>29</v>
      </c>
      <c r="O52" s="72" t="s">
        <v>30</v>
      </c>
      <c r="P52" s="72" t="s">
        <v>31</v>
      </c>
      <c r="Q52" s="72" t="s">
        <v>32</v>
      </c>
      <c r="R52" s="72" t="s">
        <v>33</v>
      </c>
      <c r="S52" s="72" t="s">
        <v>34</v>
      </c>
      <c r="T52" s="72" t="s">
        <v>35</v>
      </c>
      <c r="U52" s="72" t="s">
        <v>36</v>
      </c>
      <c r="V52" s="72" t="s">
        <v>123</v>
      </c>
      <c r="W52" s="72" t="s">
        <v>245</v>
      </c>
      <c r="X52" s="72" t="s">
        <v>246</v>
      </c>
      <c r="Y52" s="72" t="s">
        <v>247</v>
      </c>
      <c r="Z52" s="72" t="s">
        <v>248</v>
      </c>
    </row>
    <row r="53" spans="1:26">
      <c r="A53" s="133">
        <f>R49</f>
        <v>9.3343459634251599E-2</v>
      </c>
      <c r="B53" t="s">
        <v>125</v>
      </c>
      <c r="C53" s="34">
        <f>C$59*$A53</f>
        <v>1861.0502029979079</v>
      </c>
      <c r="D53" s="34">
        <f t="shared" ref="D53:S58" si="13">D$59*$A53</f>
        <v>1878.6080978043656</v>
      </c>
      <c r="E53" s="34">
        <f t="shared" si="13"/>
        <v>1896.1659926108232</v>
      </c>
      <c r="F53" s="34">
        <f t="shared" si="13"/>
        <v>1913.7238874172806</v>
      </c>
      <c r="G53" s="34">
        <f t="shared" si="13"/>
        <v>1931.2817822237378</v>
      </c>
      <c r="H53" s="34">
        <f t="shared" si="13"/>
        <v>1948.8396770301952</v>
      </c>
      <c r="I53" s="34">
        <f t="shared" si="13"/>
        <v>1966.3975718366528</v>
      </c>
      <c r="J53" s="34">
        <f t="shared" si="13"/>
        <v>1983.9554666431102</v>
      </c>
      <c r="K53" s="34">
        <f t="shared" si="13"/>
        <v>2001.5133614495674</v>
      </c>
      <c r="L53" s="34">
        <f t="shared" si="13"/>
        <v>1996.3493442983684</v>
      </c>
      <c r="M53" s="34">
        <f t="shared" si="13"/>
        <v>1991.1853271471687</v>
      </c>
      <c r="N53" s="34">
        <f t="shared" si="13"/>
        <v>1986.0213099959692</v>
      </c>
      <c r="O53" s="34">
        <f t="shared" si="13"/>
        <v>1980.8572928447702</v>
      </c>
      <c r="P53" s="34">
        <f t="shared" si="13"/>
        <v>1975.6932756935703</v>
      </c>
      <c r="Q53" s="34">
        <f t="shared" si="13"/>
        <v>1970.5292585423713</v>
      </c>
      <c r="R53" s="34">
        <f t="shared" si="13"/>
        <v>1965.3652413911718</v>
      </c>
      <c r="S53" s="34">
        <f t="shared" si="13"/>
        <v>1960.2012242399719</v>
      </c>
      <c r="T53" s="34">
        <f t="shared" ref="S53:Z58" si="14">T$59*$A53</f>
        <v>1955.0372070887724</v>
      </c>
      <c r="U53" s="34">
        <f t="shared" si="14"/>
        <v>1949.873189937573</v>
      </c>
      <c r="V53" s="34">
        <f t="shared" si="14"/>
        <v>1944.7091727863738</v>
      </c>
      <c r="W53" s="34">
        <f t="shared" si="14"/>
        <v>1939.5451556351743</v>
      </c>
      <c r="X53" s="34">
        <f t="shared" si="14"/>
        <v>1934.3811384839748</v>
      </c>
      <c r="Y53" s="34">
        <f t="shared" si="14"/>
        <v>1929.2171213327758</v>
      </c>
      <c r="Z53" s="34">
        <f t="shared" si="14"/>
        <v>1924.0531041815759</v>
      </c>
    </row>
    <row r="54" spans="1:26">
      <c r="A54" s="133">
        <f>G49</f>
        <v>1.7678931835999646E-3</v>
      </c>
      <c r="B54" t="s">
        <v>225</v>
      </c>
      <c r="C54" s="34">
        <f t="shared" ref="C54:C58" si="15">C$59*$A54</f>
        <v>35.24765399856728</v>
      </c>
      <c r="D54" s="34">
        <f t="shared" si="13"/>
        <v>35.580194517938729</v>
      </c>
      <c r="E54" s="34">
        <f t="shared" si="13"/>
        <v>35.912735037310171</v>
      </c>
      <c r="F54" s="34">
        <f t="shared" si="13"/>
        <v>36.245275556681612</v>
      </c>
      <c r="G54" s="34">
        <f t="shared" si="13"/>
        <v>36.577816076053054</v>
      </c>
      <c r="H54" s="34">
        <f t="shared" si="13"/>
        <v>36.910356595424496</v>
      </c>
      <c r="I54" s="34">
        <f t="shared" si="13"/>
        <v>37.242897114795937</v>
      </c>
      <c r="J54" s="34">
        <f t="shared" si="13"/>
        <v>37.575437634167379</v>
      </c>
      <c r="K54" s="34">
        <f t="shared" si="13"/>
        <v>37.907978153538821</v>
      </c>
      <c r="L54" s="34">
        <f t="shared" si="13"/>
        <v>37.810173435807442</v>
      </c>
      <c r="M54" s="34">
        <f t="shared" si="13"/>
        <v>37.712368718076057</v>
      </c>
      <c r="N54" s="34">
        <f t="shared" si="13"/>
        <v>37.614564000344672</v>
      </c>
      <c r="O54" s="34">
        <f t="shared" si="13"/>
        <v>37.516759282613293</v>
      </c>
      <c r="P54" s="34">
        <f t="shared" si="13"/>
        <v>37.418954564881908</v>
      </c>
      <c r="Q54" s="34">
        <f t="shared" si="13"/>
        <v>37.321149847150529</v>
      </c>
      <c r="R54" s="34">
        <f t="shared" si="13"/>
        <v>37.223345129419144</v>
      </c>
      <c r="S54" s="34">
        <f t="shared" si="14"/>
        <v>37.125540411687751</v>
      </c>
      <c r="T54" s="34">
        <f t="shared" si="14"/>
        <v>37.027735693956366</v>
      </c>
      <c r="U54" s="34">
        <f t="shared" si="14"/>
        <v>36.929930976224981</v>
      </c>
      <c r="V54" s="34">
        <f t="shared" si="14"/>
        <v>36.832126258493602</v>
      </c>
      <c r="W54" s="34">
        <f t="shared" si="14"/>
        <v>36.734321540762217</v>
      </c>
      <c r="X54" s="34">
        <f t="shared" si="14"/>
        <v>36.636516823030838</v>
      </c>
      <c r="Y54" s="34">
        <f t="shared" si="14"/>
        <v>36.53871210529946</v>
      </c>
      <c r="Z54" s="34">
        <f t="shared" si="14"/>
        <v>36.440907387568068</v>
      </c>
    </row>
    <row r="55" spans="1:26">
      <c r="A55" s="133">
        <f>I49</f>
        <v>0.54199762223317693</v>
      </c>
      <c r="B55" s="26" t="s">
        <v>230</v>
      </c>
      <c r="C55" s="34">
        <f t="shared" si="15"/>
        <v>10806.164554364866</v>
      </c>
      <c r="D55" s="34">
        <f t="shared" si="13"/>
        <v>10908.114249328051</v>
      </c>
      <c r="E55" s="34">
        <f t="shared" si="13"/>
        <v>11010.063944291236</v>
      </c>
      <c r="F55" s="34">
        <f t="shared" si="13"/>
        <v>11112.013639254419</v>
      </c>
      <c r="G55" s="34">
        <f t="shared" si="13"/>
        <v>11213.963334217602</v>
      </c>
      <c r="H55" s="34">
        <f t="shared" si="13"/>
        <v>11315.913029180783</v>
      </c>
      <c r="I55" s="34">
        <f t="shared" si="13"/>
        <v>11417.862724143968</v>
      </c>
      <c r="J55" s="34">
        <f t="shared" si="13"/>
        <v>11519.812419107151</v>
      </c>
      <c r="K55" s="34">
        <f t="shared" si="13"/>
        <v>11621.762114070334</v>
      </c>
      <c r="L55" s="34">
        <f t="shared" si="13"/>
        <v>11591.777313548817</v>
      </c>
      <c r="M55" s="34">
        <f t="shared" si="13"/>
        <v>11561.792513027298</v>
      </c>
      <c r="N55" s="34">
        <f t="shared" si="13"/>
        <v>11531.807712505781</v>
      </c>
      <c r="O55" s="34">
        <f t="shared" si="13"/>
        <v>11501.822911984264</v>
      </c>
      <c r="P55" s="34">
        <f t="shared" si="13"/>
        <v>11471.838111462743</v>
      </c>
      <c r="Q55" s="34">
        <f t="shared" si="13"/>
        <v>11441.853310941226</v>
      </c>
      <c r="R55" s="34">
        <f t="shared" si="13"/>
        <v>11411.868510419708</v>
      </c>
      <c r="S55" s="34">
        <f t="shared" si="14"/>
        <v>11381.883709898188</v>
      </c>
      <c r="T55" s="34">
        <f t="shared" si="14"/>
        <v>11351.898909376669</v>
      </c>
      <c r="U55" s="34">
        <f t="shared" si="14"/>
        <v>11321.91410885515</v>
      </c>
      <c r="V55" s="34">
        <f t="shared" si="14"/>
        <v>11291.929308333632</v>
      </c>
      <c r="W55" s="34">
        <f t="shared" si="14"/>
        <v>11261.944507812115</v>
      </c>
      <c r="X55" s="34">
        <f t="shared" si="14"/>
        <v>11231.959707290596</v>
      </c>
      <c r="Y55" s="34">
        <f t="shared" si="14"/>
        <v>11201.974906769079</v>
      </c>
      <c r="Z55" s="34">
        <f t="shared" si="14"/>
        <v>11171.990106247558</v>
      </c>
    </row>
    <row r="56" spans="1:26">
      <c r="A56" s="133">
        <f>F49</f>
        <v>0.12586291331902372</v>
      </c>
      <c r="B56" s="26" t="s">
        <v>231</v>
      </c>
      <c r="C56" s="34">
        <f t="shared" si="15"/>
        <v>2509.4120284387423</v>
      </c>
      <c r="D56" s="34">
        <f t="shared" si="13"/>
        <v>2533.0868290166163</v>
      </c>
      <c r="E56" s="34">
        <f t="shared" si="13"/>
        <v>2556.7616295944899</v>
      </c>
      <c r="F56" s="34">
        <f t="shared" si="13"/>
        <v>2580.4364301723631</v>
      </c>
      <c r="G56" s="34">
        <f t="shared" si="13"/>
        <v>2604.1112307502367</v>
      </c>
      <c r="H56" s="34">
        <f t="shared" si="13"/>
        <v>2627.7860313281099</v>
      </c>
      <c r="I56" s="34">
        <f t="shared" si="13"/>
        <v>2651.4608319059835</v>
      </c>
      <c r="J56" s="34">
        <f t="shared" si="13"/>
        <v>2675.1356324838571</v>
      </c>
      <c r="K56" s="34">
        <f t="shared" si="13"/>
        <v>2698.8104330617302</v>
      </c>
      <c r="L56" s="34">
        <f t="shared" si="13"/>
        <v>2691.8473502102261</v>
      </c>
      <c r="M56" s="34">
        <f t="shared" si="13"/>
        <v>2684.8842673587214</v>
      </c>
      <c r="N56" s="34">
        <f t="shared" si="13"/>
        <v>2677.9211845072168</v>
      </c>
      <c r="O56" s="34">
        <f t="shared" si="13"/>
        <v>2670.9581016557127</v>
      </c>
      <c r="P56" s="34">
        <f t="shared" si="13"/>
        <v>2663.9950188042076</v>
      </c>
      <c r="Q56" s="34">
        <f t="shared" si="13"/>
        <v>2657.0319359527034</v>
      </c>
      <c r="R56" s="34">
        <f t="shared" si="13"/>
        <v>2650.0688531011988</v>
      </c>
      <c r="S56" s="34">
        <f t="shared" si="14"/>
        <v>2643.1057702496937</v>
      </c>
      <c r="T56" s="34">
        <f t="shared" si="14"/>
        <v>2636.1426873981891</v>
      </c>
      <c r="U56" s="34">
        <f t="shared" si="14"/>
        <v>2629.1796045466845</v>
      </c>
      <c r="V56" s="34">
        <f t="shared" si="14"/>
        <v>2622.2165216951803</v>
      </c>
      <c r="W56" s="34">
        <f t="shared" si="14"/>
        <v>2615.2534388436757</v>
      </c>
      <c r="X56" s="34">
        <f t="shared" si="14"/>
        <v>2608.290355992171</v>
      </c>
      <c r="Y56" s="34">
        <f t="shared" si="14"/>
        <v>2601.3272731406669</v>
      </c>
      <c r="Z56" s="34">
        <f t="shared" si="14"/>
        <v>2594.3641902891618</v>
      </c>
    </row>
    <row r="57" spans="1:26">
      <c r="A57" s="133">
        <f>H49+L49+N49+O49</f>
        <v>0.18436233965185853</v>
      </c>
      <c r="B57" t="s">
        <v>224</v>
      </c>
      <c r="C57" s="34">
        <f t="shared" si="15"/>
        <v>3675.753726920575</v>
      </c>
      <c r="D57" s="34">
        <f t="shared" si="13"/>
        <v>3710.4322633554079</v>
      </c>
      <c r="E57" s="34">
        <f t="shared" si="13"/>
        <v>3745.1107997902409</v>
      </c>
      <c r="F57" s="34">
        <f t="shared" si="13"/>
        <v>3779.7893362250729</v>
      </c>
      <c r="G57" s="34">
        <f t="shared" si="13"/>
        <v>3814.467872659905</v>
      </c>
      <c r="H57" s="34">
        <f t="shared" si="13"/>
        <v>3849.1464090947375</v>
      </c>
      <c r="I57" s="34">
        <f t="shared" si="13"/>
        <v>3883.8249455295704</v>
      </c>
      <c r="J57" s="34">
        <f t="shared" si="13"/>
        <v>3918.5034819644025</v>
      </c>
      <c r="K57" s="34">
        <f t="shared" si="13"/>
        <v>3953.1820183992345</v>
      </c>
      <c r="L57" s="34">
        <f t="shared" si="13"/>
        <v>3942.9825862405401</v>
      </c>
      <c r="M57" s="34">
        <f t="shared" si="13"/>
        <v>3932.7831540818447</v>
      </c>
      <c r="N57" s="34">
        <f t="shared" si="13"/>
        <v>3922.5837219231494</v>
      </c>
      <c r="O57" s="34">
        <f t="shared" si="13"/>
        <v>3912.3842897644549</v>
      </c>
      <c r="P57" s="34">
        <f t="shared" si="13"/>
        <v>3902.1848576057591</v>
      </c>
      <c r="Q57" s="34">
        <f t="shared" si="13"/>
        <v>3891.9854254470642</v>
      </c>
      <c r="R57" s="34">
        <f t="shared" si="13"/>
        <v>3881.7859932883689</v>
      </c>
      <c r="S57" s="34">
        <f t="shared" si="14"/>
        <v>3871.5865611296731</v>
      </c>
      <c r="T57" s="34">
        <f t="shared" si="14"/>
        <v>3861.3871289709778</v>
      </c>
      <c r="U57" s="34">
        <f t="shared" si="14"/>
        <v>3851.1876968122824</v>
      </c>
      <c r="V57" s="34">
        <f t="shared" si="14"/>
        <v>3840.988264653588</v>
      </c>
      <c r="W57" s="34">
        <f t="shared" si="14"/>
        <v>3830.7888324948926</v>
      </c>
      <c r="X57" s="34">
        <f t="shared" si="14"/>
        <v>3820.5894003361973</v>
      </c>
      <c r="Y57" s="34">
        <f t="shared" si="14"/>
        <v>3810.3899681775029</v>
      </c>
      <c r="Z57" s="34">
        <f t="shared" si="14"/>
        <v>3800.1905360188071</v>
      </c>
    </row>
    <row r="58" spans="1:26">
      <c r="A58" s="133">
        <f>P49+Q49+D49</f>
        <v>5.2665771978069792E-2</v>
      </c>
      <c r="B58" s="26" t="s">
        <v>229</v>
      </c>
      <c r="C58" s="34">
        <f t="shared" si="15"/>
        <v>1050.0322787999926</v>
      </c>
      <c r="D58" s="34">
        <f t="shared" si="13"/>
        <v>1059.9387048947087</v>
      </c>
      <c r="E58" s="34">
        <f t="shared" si="13"/>
        <v>1069.8451309894249</v>
      </c>
      <c r="F58" s="34">
        <f t="shared" si="13"/>
        <v>1079.7515570841408</v>
      </c>
      <c r="G58" s="34">
        <f t="shared" si="13"/>
        <v>1089.6579831788567</v>
      </c>
      <c r="H58" s="34">
        <f t="shared" si="13"/>
        <v>1099.5644092735727</v>
      </c>
      <c r="I58" s="34">
        <f t="shared" si="13"/>
        <v>1109.4708353682888</v>
      </c>
      <c r="J58" s="34">
        <f t="shared" si="13"/>
        <v>1119.3772614630047</v>
      </c>
      <c r="K58" s="34">
        <f t="shared" si="13"/>
        <v>1129.2836875577207</v>
      </c>
      <c r="L58" s="34">
        <f t="shared" si="13"/>
        <v>1126.3700720688419</v>
      </c>
      <c r="M58" s="34">
        <f t="shared" si="13"/>
        <v>1123.4564565799628</v>
      </c>
      <c r="N58" s="34">
        <f t="shared" si="13"/>
        <v>1120.5428410910838</v>
      </c>
      <c r="O58" s="34">
        <f t="shared" si="13"/>
        <v>1117.6292256022048</v>
      </c>
      <c r="P58" s="34">
        <f t="shared" si="13"/>
        <v>1114.7156101133255</v>
      </c>
      <c r="Q58" s="34">
        <f t="shared" si="13"/>
        <v>1111.8019946244467</v>
      </c>
      <c r="R58" s="34">
        <f t="shared" si="13"/>
        <v>1108.8883791355677</v>
      </c>
      <c r="S58" s="34">
        <f t="shared" si="14"/>
        <v>1105.9747636466884</v>
      </c>
      <c r="T58" s="34">
        <f t="shared" si="14"/>
        <v>1103.0611481578094</v>
      </c>
      <c r="U58" s="34">
        <f t="shared" si="14"/>
        <v>1100.1475326689304</v>
      </c>
      <c r="V58" s="34">
        <f t="shared" si="14"/>
        <v>1097.2339171800513</v>
      </c>
      <c r="W58" s="34">
        <f t="shared" si="14"/>
        <v>1094.3203016911723</v>
      </c>
      <c r="X58" s="34">
        <f t="shared" si="14"/>
        <v>1091.4066862022933</v>
      </c>
      <c r="Y58" s="34">
        <f t="shared" si="14"/>
        <v>1088.4930707134145</v>
      </c>
      <c r="Z58" s="34">
        <f t="shared" si="14"/>
        <v>1085.5794552245352</v>
      </c>
    </row>
    <row r="59" spans="1:26">
      <c r="A59" s="133">
        <f>SUM(A53:A58)</f>
        <v>0.99999999999998057</v>
      </c>
      <c r="B59" s="53"/>
      <c r="C59" s="34">
        <f>C$44*$A59</f>
        <v>19937.66044552104</v>
      </c>
      <c r="D59" s="34">
        <f t="shared" ref="D59:Z59" si="16">D$44*$A59</f>
        <v>20125.76033891748</v>
      </c>
      <c r="E59" s="34">
        <f t="shared" si="16"/>
        <v>20313.86023231392</v>
      </c>
      <c r="F59" s="34">
        <f t="shared" si="16"/>
        <v>20501.960125710357</v>
      </c>
      <c r="G59" s="34">
        <f t="shared" si="16"/>
        <v>20690.060019106793</v>
      </c>
      <c r="H59" s="34">
        <f t="shared" si="16"/>
        <v>20878.15991250323</v>
      </c>
      <c r="I59" s="34">
        <f t="shared" si="16"/>
        <v>21066.25980589967</v>
      </c>
      <c r="J59" s="34">
        <f t="shared" si="16"/>
        <v>21254.359699296107</v>
      </c>
      <c r="K59" s="34">
        <f t="shared" si="16"/>
        <v>21442.459592692543</v>
      </c>
      <c r="L59" s="34">
        <f t="shared" si="16"/>
        <v>21387.136839803017</v>
      </c>
      <c r="M59" s="34">
        <f t="shared" si="16"/>
        <v>21331.814086913488</v>
      </c>
      <c r="N59" s="34">
        <f t="shared" si="16"/>
        <v>21276.491334023958</v>
      </c>
      <c r="O59" s="34">
        <f t="shared" si="16"/>
        <v>21221.168581134432</v>
      </c>
      <c r="P59" s="34">
        <f t="shared" si="16"/>
        <v>21165.845828244899</v>
      </c>
      <c r="Q59" s="34">
        <f t="shared" si="16"/>
        <v>21110.523075355373</v>
      </c>
      <c r="R59" s="34">
        <f t="shared" si="16"/>
        <v>21055.200322465844</v>
      </c>
      <c r="S59" s="34">
        <f t="shared" si="16"/>
        <v>20999.877569576311</v>
      </c>
      <c r="T59" s="34">
        <f t="shared" si="16"/>
        <v>20944.554816686781</v>
      </c>
      <c r="U59" s="34">
        <f t="shared" si="16"/>
        <v>20889.232063797252</v>
      </c>
      <c r="V59" s="34">
        <f t="shared" si="16"/>
        <v>20833.909310907726</v>
      </c>
      <c r="W59" s="34">
        <f t="shared" si="16"/>
        <v>20778.586558018196</v>
      </c>
      <c r="X59" s="34">
        <f t="shared" si="16"/>
        <v>20723.263805128667</v>
      </c>
      <c r="Y59" s="34">
        <f t="shared" si="16"/>
        <v>20667.941052239141</v>
      </c>
      <c r="Z59" s="34">
        <f t="shared" si="16"/>
        <v>20612.618299349608</v>
      </c>
    </row>
    <row r="61" spans="1:26">
      <c r="A61" s="26" t="s">
        <v>408</v>
      </c>
      <c r="G61"/>
      <c r="I61"/>
    </row>
    <row r="62" spans="1:26">
      <c r="B62" s="26" t="s">
        <v>585</v>
      </c>
      <c r="G62"/>
      <c r="I62"/>
    </row>
    <row r="63" spans="1:26">
      <c r="B63" s="250">
        <v>0.4</v>
      </c>
      <c r="C63">
        <f>B63*C44</f>
        <v>7975.0641782085704</v>
      </c>
      <c r="G63"/>
      <c r="I63"/>
    </row>
    <row r="64" spans="1:26">
      <c r="A64" s="5" t="s">
        <v>367</v>
      </c>
      <c r="G64"/>
      <c r="I64"/>
    </row>
    <row r="65" spans="1:26">
      <c r="A65" s="26" t="s">
        <v>366</v>
      </c>
      <c r="B65" s="26" t="s">
        <v>411</v>
      </c>
      <c r="G65"/>
      <c r="I65"/>
    </row>
    <row r="66" spans="1:26">
      <c r="B66" s="249">
        <v>300</v>
      </c>
      <c r="C66" s="349">
        <f>$B$63*C53*$B$66</f>
        <v>223326.02435974896</v>
      </c>
      <c r="D66" s="349">
        <f t="shared" ref="D66:Z66" si="17">$B$63*D53*$B$66</f>
        <v>225432.97173652388</v>
      </c>
      <c r="E66" s="349">
        <f t="shared" si="17"/>
        <v>227539.91911329882</v>
      </c>
      <c r="F66" s="349">
        <f t="shared" si="17"/>
        <v>229646.86649007368</v>
      </c>
      <c r="G66" s="349">
        <f t="shared" si="17"/>
        <v>231753.81386684853</v>
      </c>
      <c r="H66" s="349">
        <f t="shared" si="17"/>
        <v>233860.76124362342</v>
      </c>
      <c r="I66" s="349">
        <f t="shared" si="17"/>
        <v>235967.70862039836</v>
      </c>
      <c r="J66" s="349">
        <f t="shared" si="17"/>
        <v>238074.65599717325</v>
      </c>
      <c r="K66" s="349">
        <f t="shared" si="17"/>
        <v>240181.60337394811</v>
      </c>
      <c r="L66" s="349">
        <f t="shared" si="17"/>
        <v>239561.92131580421</v>
      </c>
      <c r="M66" s="349">
        <f t="shared" si="17"/>
        <v>238942.23925766026</v>
      </c>
      <c r="N66" s="349">
        <f t="shared" si="17"/>
        <v>238322.55719951633</v>
      </c>
      <c r="O66" s="349">
        <f t="shared" si="17"/>
        <v>237702.87514137244</v>
      </c>
      <c r="P66" s="349">
        <f t="shared" si="17"/>
        <v>237083.19308322843</v>
      </c>
      <c r="Q66" s="349">
        <f t="shared" si="17"/>
        <v>236463.51102508456</v>
      </c>
      <c r="R66" s="349">
        <f t="shared" si="17"/>
        <v>235843.82896694064</v>
      </c>
      <c r="S66" s="349">
        <f t="shared" si="17"/>
        <v>235224.14690879665</v>
      </c>
      <c r="T66" s="349">
        <f t="shared" si="17"/>
        <v>234604.46485065273</v>
      </c>
      <c r="U66" s="349">
        <f t="shared" si="17"/>
        <v>233984.78279250875</v>
      </c>
      <c r="V66" s="349">
        <f t="shared" si="17"/>
        <v>233365.10073436485</v>
      </c>
      <c r="W66" s="349">
        <f t="shared" si="17"/>
        <v>232745.41867622093</v>
      </c>
      <c r="X66" s="349">
        <f t="shared" si="17"/>
        <v>232125.736618077</v>
      </c>
      <c r="Y66" s="349">
        <f t="shared" si="17"/>
        <v>231506.05455993311</v>
      </c>
      <c r="Z66" s="349">
        <f t="shared" si="17"/>
        <v>230886.37250178913</v>
      </c>
    </row>
    <row r="67" spans="1:26">
      <c r="A67" s="26" t="s">
        <v>412</v>
      </c>
      <c r="G67"/>
      <c r="I67"/>
    </row>
    <row r="68" spans="1:26">
      <c r="A68" s="248">
        <v>0.03</v>
      </c>
      <c r="B68" s="54" t="s">
        <v>425</v>
      </c>
      <c r="E68" s="208">
        <f>E66*$A$68</f>
        <v>6826.1975733989648</v>
      </c>
      <c r="F68" s="208">
        <f t="shared" ref="F68:Z68" si="18">F66*$A$68</f>
        <v>6889.4059947022097</v>
      </c>
      <c r="G68" s="208">
        <f t="shared" si="18"/>
        <v>6952.6144160054555</v>
      </c>
      <c r="H68" s="208">
        <f t="shared" si="18"/>
        <v>7015.8228373087022</v>
      </c>
      <c r="I68" s="208">
        <f t="shared" si="18"/>
        <v>7079.0312586119508</v>
      </c>
      <c r="J68" s="208">
        <f t="shared" si="18"/>
        <v>7142.2396799151975</v>
      </c>
      <c r="K68" s="208">
        <f t="shared" si="18"/>
        <v>7205.4481012184433</v>
      </c>
      <c r="L68" s="208">
        <f t="shared" si="18"/>
        <v>7186.8576394741258</v>
      </c>
      <c r="M68" s="208">
        <f t="shared" si="18"/>
        <v>7168.2671777298074</v>
      </c>
      <c r="N68" s="208">
        <f t="shared" si="18"/>
        <v>7149.6767159854899</v>
      </c>
      <c r="O68" s="208">
        <f t="shared" si="18"/>
        <v>7131.0862542411733</v>
      </c>
      <c r="P68" s="208">
        <f t="shared" si="18"/>
        <v>7112.4957924968521</v>
      </c>
      <c r="Q68" s="208">
        <f t="shared" si="18"/>
        <v>7093.9053307525364</v>
      </c>
      <c r="R68" s="208">
        <f t="shared" si="18"/>
        <v>7075.3148690082189</v>
      </c>
      <c r="S68" s="208">
        <f t="shared" si="18"/>
        <v>7056.7244072638996</v>
      </c>
      <c r="T68" s="208">
        <f t="shared" si="18"/>
        <v>7038.1339455195821</v>
      </c>
      <c r="U68" s="208">
        <f t="shared" si="18"/>
        <v>7019.5434837752618</v>
      </c>
      <c r="V68" s="208">
        <f t="shared" si="18"/>
        <v>7000.9530220309452</v>
      </c>
      <c r="W68" s="208">
        <f t="shared" si="18"/>
        <v>6982.3625602866277</v>
      </c>
      <c r="X68" s="208">
        <f t="shared" si="18"/>
        <v>6963.7720985423102</v>
      </c>
      <c r="Y68" s="208">
        <f t="shared" si="18"/>
        <v>6945.1816367979927</v>
      </c>
      <c r="Z68" s="208">
        <f t="shared" si="18"/>
        <v>6926.5911750536734</v>
      </c>
    </row>
    <row r="69" spans="1:26">
      <c r="A69" s="248">
        <v>0.02</v>
      </c>
      <c r="B69" s="78" t="s">
        <v>418</v>
      </c>
      <c r="E69" s="208">
        <f>E66*$A$69</f>
        <v>4550.7983822659762</v>
      </c>
      <c r="F69" s="208">
        <f t="shared" ref="F69:Z69" si="19">F66*$A$69</f>
        <v>4592.9373298014734</v>
      </c>
      <c r="G69" s="208">
        <f t="shared" si="19"/>
        <v>4635.0762773369706</v>
      </c>
      <c r="H69" s="208">
        <f t="shared" si="19"/>
        <v>4677.2152248724688</v>
      </c>
      <c r="I69" s="208">
        <f t="shared" si="19"/>
        <v>4719.3541724079678</v>
      </c>
      <c r="J69" s="208">
        <f t="shared" si="19"/>
        <v>4761.493119943465</v>
      </c>
      <c r="K69" s="208">
        <f t="shared" si="19"/>
        <v>4803.6320674789622</v>
      </c>
      <c r="L69" s="208">
        <f t="shared" si="19"/>
        <v>4791.2384263160848</v>
      </c>
      <c r="M69" s="208">
        <f t="shared" si="19"/>
        <v>4778.8447851532055</v>
      </c>
      <c r="N69" s="208">
        <f t="shared" si="19"/>
        <v>4766.4511439903272</v>
      </c>
      <c r="O69" s="208">
        <f t="shared" si="19"/>
        <v>4754.0575028274488</v>
      </c>
      <c r="P69" s="208">
        <f t="shared" si="19"/>
        <v>4741.6638616645687</v>
      </c>
      <c r="Q69" s="208">
        <f t="shared" si="19"/>
        <v>4729.2702205016913</v>
      </c>
      <c r="R69" s="208">
        <f t="shared" si="19"/>
        <v>4716.8765793388129</v>
      </c>
      <c r="S69" s="208">
        <f t="shared" si="19"/>
        <v>4704.4829381759328</v>
      </c>
      <c r="T69" s="208">
        <f t="shared" si="19"/>
        <v>4692.0892970130544</v>
      </c>
      <c r="U69" s="208">
        <f t="shared" si="19"/>
        <v>4679.6956558501752</v>
      </c>
      <c r="V69" s="208">
        <f t="shared" si="19"/>
        <v>4667.3020146872968</v>
      </c>
      <c r="W69" s="208">
        <f t="shared" si="19"/>
        <v>4654.9083735244185</v>
      </c>
      <c r="X69" s="208">
        <f t="shared" si="19"/>
        <v>4642.5147323615402</v>
      </c>
      <c r="Y69" s="208">
        <f t="shared" si="19"/>
        <v>4630.1210911986627</v>
      </c>
      <c r="Z69" s="208">
        <f t="shared" si="19"/>
        <v>4617.7274500357826</v>
      </c>
    </row>
    <row r="70" spans="1:26">
      <c r="A70" s="70"/>
      <c r="B70" s="26"/>
      <c r="G70"/>
      <c r="I70"/>
    </row>
    <row r="71" spans="1:26">
      <c r="A71" s="5" t="s">
        <v>277</v>
      </c>
      <c r="G71"/>
      <c r="I71"/>
    </row>
    <row r="72" spans="1:26">
      <c r="A72" s="70" t="s">
        <v>366</v>
      </c>
      <c r="B72" s="26" t="s">
        <v>411</v>
      </c>
      <c r="C72" s="208"/>
      <c r="D72" s="208"/>
      <c r="E72" s="208"/>
      <c r="F72" s="208"/>
      <c r="G72" s="208"/>
      <c r="H72" s="208"/>
      <c r="I72" s="208"/>
      <c r="J72" s="208"/>
      <c r="K72" s="208"/>
      <c r="L72" s="208"/>
      <c r="M72" s="208"/>
      <c r="N72" s="208"/>
      <c r="O72" s="208"/>
      <c r="P72" s="208"/>
      <c r="Q72" s="208"/>
      <c r="R72" s="208"/>
      <c r="S72" s="208"/>
      <c r="T72" s="208"/>
      <c r="U72" s="208"/>
      <c r="V72" s="208"/>
      <c r="W72" s="208"/>
      <c r="X72" s="208"/>
      <c r="Y72" s="208"/>
      <c r="Z72" s="208"/>
    </row>
    <row r="73" spans="1:26">
      <c r="A73" s="70"/>
      <c r="B73" s="249">
        <v>300</v>
      </c>
      <c r="C73" s="349">
        <f>$B73*$B63*C54</f>
        <v>4229.7184798280732</v>
      </c>
      <c r="D73" s="349">
        <f t="shared" ref="D73:Z73" si="20">$B73*$B63*D54</f>
        <v>4269.6233421526476</v>
      </c>
      <c r="E73" s="349">
        <f t="shared" si="20"/>
        <v>4309.5282044772202</v>
      </c>
      <c r="F73" s="349">
        <f t="shared" si="20"/>
        <v>4349.4330668017938</v>
      </c>
      <c r="G73" s="349">
        <f t="shared" si="20"/>
        <v>4389.3379291263664</v>
      </c>
      <c r="H73" s="349">
        <f t="shared" si="20"/>
        <v>4429.2427914509399</v>
      </c>
      <c r="I73" s="349">
        <f t="shared" si="20"/>
        <v>4469.1476537755125</v>
      </c>
      <c r="J73" s="349">
        <f t="shared" si="20"/>
        <v>4509.0525161000851</v>
      </c>
      <c r="K73" s="349">
        <f t="shared" si="20"/>
        <v>4548.9573784246586</v>
      </c>
      <c r="L73" s="349">
        <f t="shared" si="20"/>
        <v>4537.2208122968932</v>
      </c>
      <c r="M73" s="349">
        <f t="shared" si="20"/>
        <v>4525.4842461691269</v>
      </c>
      <c r="N73" s="349">
        <f t="shared" si="20"/>
        <v>4513.7476800413606</v>
      </c>
      <c r="O73" s="349">
        <f t="shared" si="20"/>
        <v>4502.0111139135952</v>
      </c>
      <c r="P73" s="349">
        <f t="shared" si="20"/>
        <v>4490.2745477858289</v>
      </c>
      <c r="Q73" s="349">
        <f t="shared" si="20"/>
        <v>4478.5379816580635</v>
      </c>
      <c r="R73" s="349">
        <f t="shared" si="20"/>
        <v>4466.8014155302972</v>
      </c>
      <c r="S73" s="349">
        <f t="shared" si="20"/>
        <v>4455.0648494025299</v>
      </c>
      <c r="T73" s="349">
        <f t="shared" si="20"/>
        <v>4443.3282832747636</v>
      </c>
      <c r="U73" s="349">
        <f t="shared" si="20"/>
        <v>4431.5917171469973</v>
      </c>
      <c r="V73" s="349">
        <f t="shared" si="20"/>
        <v>4419.8551510192319</v>
      </c>
      <c r="W73" s="349">
        <f t="shared" si="20"/>
        <v>4408.1185848914656</v>
      </c>
      <c r="X73" s="349">
        <f t="shared" si="20"/>
        <v>4396.3820187637002</v>
      </c>
      <c r="Y73" s="349">
        <f t="shared" si="20"/>
        <v>4384.6454526359348</v>
      </c>
      <c r="Z73" s="349">
        <f t="shared" si="20"/>
        <v>4372.9088865081685</v>
      </c>
    </row>
    <row r="74" spans="1:26">
      <c r="A74" s="70"/>
      <c r="B74" s="249"/>
      <c r="C74" s="349"/>
      <c r="D74" s="349"/>
      <c r="E74" s="349"/>
      <c r="F74" s="349"/>
      <c r="G74" s="349"/>
      <c r="H74" s="349"/>
      <c r="I74" s="349"/>
      <c r="J74" s="349"/>
      <c r="K74" s="349"/>
      <c r="L74" s="349"/>
      <c r="M74" s="349"/>
      <c r="N74" s="349"/>
      <c r="O74" s="349"/>
      <c r="P74" s="349"/>
      <c r="Q74" s="349"/>
      <c r="R74" s="349"/>
      <c r="S74" s="349"/>
      <c r="T74" s="349"/>
      <c r="U74" s="349"/>
      <c r="V74" s="349"/>
      <c r="W74" s="349"/>
      <c r="X74" s="349"/>
      <c r="Y74" s="349"/>
      <c r="Z74" s="349"/>
    </row>
    <row r="75" spans="1:26">
      <c r="A75" s="248">
        <v>0.03</v>
      </c>
      <c r="B75" s="54" t="s">
        <v>433</v>
      </c>
      <c r="E75" s="208">
        <f>E73*$A$75</f>
        <v>129.28584613431661</v>
      </c>
      <c r="F75" s="208">
        <f t="shared" ref="F75:Z75" si="21">F73*$A$75</f>
        <v>130.48299200405381</v>
      </c>
      <c r="G75" s="208">
        <f t="shared" si="21"/>
        <v>131.68013787379098</v>
      </c>
      <c r="H75" s="208">
        <f t="shared" si="21"/>
        <v>132.87728374352818</v>
      </c>
      <c r="I75" s="208">
        <f t="shared" si="21"/>
        <v>134.07442961326538</v>
      </c>
      <c r="J75" s="208">
        <f t="shared" si="21"/>
        <v>135.27157548300255</v>
      </c>
      <c r="K75" s="208">
        <f t="shared" si="21"/>
        <v>136.46872135273975</v>
      </c>
      <c r="L75" s="208">
        <f t="shared" si="21"/>
        <v>136.1166243689068</v>
      </c>
      <c r="M75" s="208">
        <f t="shared" si="21"/>
        <v>135.76452738507379</v>
      </c>
      <c r="N75" s="208">
        <f t="shared" si="21"/>
        <v>135.41243040124081</v>
      </c>
      <c r="O75" s="208">
        <f t="shared" si="21"/>
        <v>135.06033341740786</v>
      </c>
      <c r="P75" s="208">
        <f t="shared" si="21"/>
        <v>134.70823643357485</v>
      </c>
      <c r="Q75" s="208">
        <f t="shared" si="21"/>
        <v>134.3561394497419</v>
      </c>
      <c r="R75" s="208">
        <f t="shared" si="21"/>
        <v>134.00404246590892</v>
      </c>
      <c r="S75" s="208">
        <f t="shared" si="21"/>
        <v>133.65194548207589</v>
      </c>
      <c r="T75" s="208">
        <f t="shared" si="21"/>
        <v>133.29984849824291</v>
      </c>
      <c r="U75" s="208">
        <f t="shared" si="21"/>
        <v>132.9477515144099</v>
      </c>
      <c r="V75" s="208">
        <f t="shared" si="21"/>
        <v>132.59565453057695</v>
      </c>
      <c r="W75" s="208">
        <f t="shared" si="21"/>
        <v>132.24355754674397</v>
      </c>
      <c r="X75" s="208">
        <f t="shared" si="21"/>
        <v>131.89146056291099</v>
      </c>
      <c r="Y75" s="208">
        <f t="shared" si="21"/>
        <v>131.53936357907804</v>
      </c>
      <c r="Z75" s="208">
        <f t="shared" si="21"/>
        <v>131.18726659524506</v>
      </c>
    </row>
    <row r="76" spans="1:26">
      <c r="A76" s="248">
        <v>0.02</v>
      </c>
      <c r="B76" s="78" t="s">
        <v>427</v>
      </c>
      <c r="E76" s="208">
        <f>E73*$A$76</f>
        <v>86.190564089544409</v>
      </c>
      <c r="F76" s="208">
        <f t="shared" ref="F76:Z76" si="22">F73*$A$76</f>
        <v>86.988661336035875</v>
      </c>
      <c r="G76" s="208">
        <f t="shared" si="22"/>
        <v>87.786758582527327</v>
      </c>
      <c r="H76" s="208">
        <f t="shared" si="22"/>
        <v>88.584855829018792</v>
      </c>
      <c r="I76" s="208">
        <f t="shared" si="22"/>
        <v>89.382953075510258</v>
      </c>
      <c r="J76" s="208">
        <f t="shared" si="22"/>
        <v>90.18105032200171</v>
      </c>
      <c r="K76" s="208">
        <f t="shared" si="22"/>
        <v>90.979147568493175</v>
      </c>
      <c r="L76" s="208">
        <f t="shared" si="22"/>
        <v>90.74441624593787</v>
      </c>
      <c r="M76" s="208">
        <f t="shared" si="22"/>
        <v>90.509684923382537</v>
      </c>
      <c r="N76" s="208">
        <f t="shared" si="22"/>
        <v>90.274953600827217</v>
      </c>
      <c r="O76" s="208">
        <f t="shared" si="22"/>
        <v>90.040222278271912</v>
      </c>
      <c r="P76" s="208">
        <f t="shared" si="22"/>
        <v>89.805490955716579</v>
      </c>
      <c r="Q76" s="208">
        <f t="shared" si="22"/>
        <v>89.570759633161273</v>
      </c>
      <c r="R76" s="208">
        <f t="shared" si="22"/>
        <v>89.33602831060594</v>
      </c>
      <c r="S76" s="208">
        <f t="shared" si="22"/>
        <v>89.101296988050606</v>
      </c>
      <c r="T76" s="208">
        <f t="shared" si="22"/>
        <v>88.866565665495273</v>
      </c>
      <c r="U76" s="208">
        <f t="shared" si="22"/>
        <v>88.631834342939953</v>
      </c>
      <c r="V76" s="208">
        <f t="shared" si="22"/>
        <v>88.397103020384634</v>
      </c>
      <c r="W76" s="208">
        <f t="shared" si="22"/>
        <v>88.162371697829315</v>
      </c>
      <c r="X76" s="208">
        <f t="shared" si="22"/>
        <v>87.927640375274009</v>
      </c>
      <c r="Y76" s="208">
        <f t="shared" si="22"/>
        <v>87.692909052718704</v>
      </c>
      <c r="Z76" s="208">
        <f t="shared" si="22"/>
        <v>87.458177730163371</v>
      </c>
    </row>
    <row r="88" spans="1:10" ht="15.75">
      <c r="A88" s="526" t="s">
        <v>353</v>
      </c>
      <c r="B88" s="526"/>
      <c r="C88" s="526"/>
      <c r="D88" s="526"/>
      <c r="E88" s="526"/>
      <c r="F88" s="526"/>
    </row>
    <row r="89" spans="1:10" ht="15.75">
      <c r="A89" s="526" t="s">
        <v>354</v>
      </c>
      <c r="B89" s="526"/>
      <c r="C89" s="526"/>
      <c r="D89" s="526"/>
      <c r="E89" s="526"/>
      <c r="F89" s="526"/>
      <c r="G89" s="200" t="s">
        <v>355</v>
      </c>
      <c r="I89" s="200" t="s">
        <v>356</v>
      </c>
    </row>
    <row r="90" spans="1:10">
      <c r="G90" s="200" t="s">
        <v>358</v>
      </c>
      <c r="H90" s="200" t="s">
        <v>357</v>
      </c>
      <c r="J90" s="200" t="s">
        <v>357</v>
      </c>
    </row>
    <row r="91" spans="1:10" s="76" customFormat="1" ht="15">
      <c r="A91" s="205"/>
      <c r="B91" s="207"/>
      <c r="C91" s="207"/>
      <c r="D91" s="207"/>
      <c r="E91" s="207"/>
      <c r="F91" s="207"/>
      <c r="G91" s="207"/>
      <c r="H91" s="209">
        <v>6.2199999999999998E-3</v>
      </c>
      <c r="I91" s="207"/>
      <c r="J91" s="209">
        <v>2.1600000000000001E-2</v>
      </c>
    </row>
    <row r="92" spans="1:10" ht="15">
      <c r="A92" s="192" t="s">
        <v>343</v>
      </c>
      <c r="B92" s="186" t="s">
        <v>344</v>
      </c>
      <c r="C92" s="187" t="s">
        <v>345</v>
      </c>
      <c r="D92" s="188">
        <v>10333</v>
      </c>
      <c r="E92" s="186">
        <v>11625</v>
      </c>
      <c r="F92" s="187">
        <v>14395</v>
      </c>
      <c r="G92" s="74">
        <f>E92-D92</f>
        <v>1292</v>
      </c>
      <c r="H92" s="208">
        <f>D92*((1+H91)^19)</f>
        <v>11624.984689295301</v>
      </c>
      <c r="I92" s="74">
        <f>F92-E92</f>
        <v>2770</v>
      </c>
      <c r="J92" s="208">
        <f>E92*((1+J91)^10)</f>
        <v>14394.673017995265</v>
      </c>
    </row>
    <row r="93" spans="1:10" ht="15">
      <c r="A93" s="201"/>
      <c r="B93" s="202"/>
      <c r="C93" s="203"/>
      <c r="D93" s="204"/>
      <c r="E93" s="202"/>
      <c r="F93" s="203"/>
      <c r="H93" s="209">
        <v>8.7100000000000007E-3</v>
      </c>
      <c r="J93" s="209">
        <v>3.2660000000000002E-2</v>
      </c>
    </row>
    <row r="94" spans="1:10" ht="15.75" thickBot="1">
      <c r="A94" s="194"/>
      <c r="B94" s="195" t="s">
        <v>346</v>
      </c>
      <c r="C94" s="196" t="s">
        <v>347</v>
      </c>
      <c r="D94" s="197">
        <v>5431</v>
      </c>
      <c r="E94" s="195">
        <v>6404</v>
      </c>
      <c r="F94" s="196">
        <v>8831</v>
      </c>
      <c r="G94" s="74">
        <f>E94-D94</f>
        <v>973</v>
      </c>
      <c r="H94" s="208">
        <f>D94*((1+H93)^19)</f>
        <v>6403.8330674172666</v>
      </c>
      <c r="I94" s="74">
        <f>F94-E94</f>
        <v>2427</v>
      </c>
      <c r="J94" s="208">
        <f>E94*((1+J93)^10)</f>
        <v>8831.304780076649</v>
      </c>
    </row>
    <row r="95" spans="1:10" ht="13.5" thickTop="1"/>
    <row r="96" spans="1:10">
      <c r="B96" s="198"/>
    </row>
    <row r="97" spans="1:2">
      <c r="A97" t="s">
        <v>348</v>
      </c>
      <c r="B97" s="198"/>
    </row>
    <row r="98" spans="1:2">
      <c r="A98" t="s">
        <v>349</v>
      </c>
    </row>
    <row r="99" spans="1:2">
      <c r="A99" t="s">
        <v>350</v>
      </c>
    </row>
    <row r="100" spans="1:2">
      <c r="A100" t="s">
        <v>351</v>
      </c>
    </row>
  </sheetData>
  <mergeCells count="5">
    <mergeCell ref="A36:A37"/>
    <mergeCell ref="B36:E36"/>
    <mergeCell ref="F36:I36"/>
    <mergeCell ref="A88:F88"/>
    <mergeCell ref="A89:F89"/>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BA256"/>
  <sheetViews>
    <sheetView topLeftCell="B143" zoomScale="75" zoomScaleNormal="75" workbookViewId="0">
      <selection activeCell="J38" sqref="J38"/>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c r="K5" s="312"/>
      <c r="L5" s="312"/>
      <c r="M5" s="312"/>
      <c r="N5" s="312"/>
      <c r="O5" s="312"/>
      <c r="P5" s="312"/>
      <c r="Q5" s="312"/>
      <c r="R5" s="312"/>
      <c r="S5" s="312"/>
      <c r="T5" s="312"/>
      <c r="U5" s="312"/>
      <c r="V5" s="312"/>
      <c r="W5" s="312"/>
      <c r="X5" s="312"/>
      <c r="Y5" s="312"/>
      <c r="Z5" s="312"/>
      <c r="AA5" s="312"/>
      <c r="AB5" s="312"/>
      <c r="AC5" s="407"/>
      <c r="AD5" s="359"/>
    </row>
    <row r="6" spans="1:33">
      <c r="A6" s="44"/>
      <c r="B6" s="44"/>
      <c r="C6" s="55" t="s">
        <v>404</v>
      </c>
      <c r="D6" s="226"/>
      <c r="E6" s="234"/>
      <c r="F6" s="312"/>
      <c r="G6" s="312">
        <v>-501589.98</v>
      </c>
      <c r="I6" s="312"/>
      <c r="K6" s="312"/>
      <c r="L6" s="312"/>
      <c r="M6" s="312"/>
      <c r="N6" s="312"/>
      <c r="O6" s="312"/>
      <c r="P6" s="312"/>
      <c r="Q6" s="312"/>
      <c r="R6" s="312"/>
      <c r="S6" s="312"/>
      <c r="T6" s="312"/>
      <c r="U6" s="312"/>
      <c r="V6" s="312"/>
      <c r="W6" s="312"/>
      <c r="X6" s="312"/>
      <c r="Y6" s="312"/>
      <c r="Z6" s="312"/>
      <c r="AA6" s="312"/>
      <c r="AB6" s="312"/>
      <c r="AC6" s="407"/>
      <c r="AD6" s="359"/>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ref="AD7:AD55" si="0">SUM(F7:AC7)</f>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404"/>
      <c r="AC9" s="283"/>
      <c r="AD9" s="361">
        <f t="shared" si="0"/>
        <v>0</v>
      </c>
    </row>
    <row r="10" spans="1:33" s="53" customFormat="1" ht="12">
      <c r="A10" s="58"/>
      <c r="B10" s="70" t="s">
        <v>463</v>
      </c>
      <c r="C10" s="70" t="s">
        <v>366</v>
      </c>
      <c r="D10" s="228"/>
      <c r="E10" s="235"/>
      <c r="F10" s="59">
        <f>'TB Users'!C5</f>
        <v>0</v>
      </c>
      <c r="G10" s="59">
        <f>'TB Users'!D5</f>
        <v>0</v>
      </c>
      <c r="H10" s="59">
        <f>'TB Users'!E5</f>
        <v>553940.71652026684</v>
      </c>
      <c r="I10" s="59">
        <f>'TB Users'!F5</f>
        <v>567717.64009573031</v>
      </c>
      <c r="J10" s="59">
        <f>'TB Users'!G5</f>
        <v>581494.56367119378</v>
      </c>
      <c r="K10" s="59">
        <f>'TB Users'!H5</f>
        <v>595271.48724665737</v>
      </c>
      <c r="L10" s="59">
        <f>'TB Users'!I5</f>
        <v>609048.41082212073</v>
      </c>
      <c r="M10" s="59">
        <f>'TB Users'!J5</f>
        <v>622825.33439758432</v>
      </c>
      <c r="N10" s="59">
        <f>'TB Users'!K5</f>
        <v>636602.25797304779</v>
      </c>
      <c r="O10" s="59">
        <f>'TB Users'!L5</f>
        <v>641394.42843420361</v>
      </c>
      <c r="P10" s="59">
        <f>'TB Users'!M5</f>
        <v>646186.59889535944</v>
      </c>
      <c r="Q10" s="59">
        <f>'TB Users'!N5</f>
        <v>650978.76935651503</v>
      </c>
      <c r="R10" s="59">
        <f>'TB Users'!O5</f>
        <v>655770.93981767097</v>
      </c>
      <c r="S10" s="59">
        <f>'TB Users'!P5</f>
        <v>660563.11027882667</v>
      </c>
      <c r="T10" s="59">
        <f>'TB Users'!Q5</f>
        <v>665355.28073998238</v>
      </c>
      <c r="U10" s="59">
        <f>'TB Users'!R5</f>
        <v>670147.45120113809</v>
      </c>
      <c r="V10" s="59">
        <f>'TB Users'!S5</f>
        <v>674939.62166229379</v>
      </c>
      <c r="W10" s="59">
        <f>'TB Users'!T5</f>
        <v>679731.7921234495</v>
      </c>
      <c r="X10" s="59">
        <f>'TB Users'!U5</f>
        <v>684523.96258460544</v>
      </c>
      <c r="Y10" s="59">
        <f>'TB Users'!V5</f>
        <v>689316.13304576115</v>
      </c>
      <c r="Z10" s="59">
        <f>'TB Users'!W5</f>
        <v>694108.30350691685</v>
      </c>
      <c r="AA10" s="59">
        <f>'TB Users'!X5</f>
        <v>698900.47396807268</v>
      </c>
      <c r="AB10" s="59">
        <f>'TB Users'!Y5</f>
        <v>703692.6444292285</v>
      </c>
      <c r="AC10" s="284">
        <f>'TB Users'!Z5</f>
        <v>708484.81489038432</v>
      </c>
      <c r="AD10" s="362">
        <f t="shared" si="0"/>
        <v>14290994.735661011</v>
      </c>
    </row>
    <row r="11" spans="1:33" s="53" customFormat="1" ht="12">
      <c r="A11" s="58"/>
      <c r="B11" s="70" t="s">
        <v>462</v>
      </c>
      <c r="C11" s="54" t="s">
        <v>431</v>
      </c>
      <c r="D11" s="228"/>
      <c r="E11" s="235"/>
      <c r="F11" s="59">
        <f>'TB Users'!C6</f>
        <v>0</v>
      </c>
      <c r="G11" s="59">
        <f>'TB Users'!D6</f>
        <v>0</v>
      </c>
      <c r="H11" s="59">
        <f>'TB Users'!E6</f>
        <v>16618.221495608006</v>
      </c>
      <c r="I11" s="59">
        <f>'TB Users'!F6</f>
        <v>17031.529202871909</v>
      </c>
      <c r="J11" s="59">
        <f>'TB Users'!G6</f>
        <v>17444.836910135811</v>
      </c>
      <c r="K11" s="59">
        <f>'TB Users'!H6</f>
        <v>17858.144617399721</v>
      </c>
      <c r="L11" s="59">
        <f>'TB Users'!I6</f>
        <v>18271.45232466362</v>
      </c>
      <c r="M11" s="59">
        <f>'TB Users'!J6</f>
        <v>18684.76003192753</v>
      </c>
      <c r="N11" s="59">
        <f>'TB Users'!K6</f>
        <v>19098.067739191432</v>
      </c>
      <c r="O11" s="59">
        <f>'TB Users'!L6</f>
        <v>19241.832853026106</v>
      </c>
      <c r="P11" s="59">
        <f>'TB Users'!M6</f>
        <v>19385.597966860783</v>
      </c>
      <c r="Q11" s="59">
        <f>'TB Users'!N6</f>
        <v>19529.36308069545</v>
      </c>
      <c r="R11" s="59">
        <f>'TB Users'!O6</f>
        <v>19673.128194530127</v>
      </c>
      <c r="S11" s="59">
        <f>'TB Users'!P6</f>
        <v>19816.893308364801</v>
      </c>
      <c r="T11" s="59">
        <f>'TB Users'!Q6</f>
        <v>19960.658422199471</v>
      </c>
      <c r="U11" s="59">
        <f>'TB Users'!R6</f>
        <v>20104.423536034141</v>
      </c>
      <c r="V11" s="59">
        <f>'TB Users'!S6</f>
        <v>20248.188649868815</v>
      </c>
      <c r="W11" s="59">
        <f>'TB Users'!T6</f>
        <v>20391.953763703485</v>
      </c>
      <c r="X11" s="59">
        <f>'TB Users'!U6</f>
        <v>20535.718877538162</v>
      </c>
      <c r="Y11" s="59">
        <f>'TB Users'!V6</f>
        <v>20679.483991372832</v>
      </c>
      <c r="Z11" s="59">
        <f>'TB Users'!W6</f>
        <v>20823.249105207506</v>
      </c>
      <c r="AA11" s="59">
        <f>'TB Users'!X6</f>
        <v>20967.014219042179</v>
      </c>
      <c r="AB11" s="59">
        <f>'TB Users'!Y6</f>
        <v>21110.779332876853</v>
      </c>
      <c r="AC11" s="284">
        <f>'TB Users'!Z6</f>
        <v>21254.54444671153</v>
      </c>
      <c r="AD11" s="362">
        <f t="shared" si="0"/>
        <v>428729.84206983028</v>
      </c>
    </row>
    <row r="12" spans="1:33" s="53" customFormat="1" ht="12">
      <c r="A12" s="58"/>
      <c r="B12" s="70"/>
      <c r="C12" s="78" t="s">
        <v>418</v>
      </c>
      <c r="D12" s="228"/>
      <c r="E12" s="235"/>
      <c r="F12" s="59">
        <f>'TB Users'!C7</f>
        <v>0</v>
      </c>
      <c r="G12" s="59">
        <f>'TB Users'!D7</f>
        <v>0</v>
      </c>
      <c r="H12" s="59">
        <f>'TB Users'!E7</f>
        <v>11078.814330405337</v>
      </c>
      <c r="I12" s="59">
        <f>'TB Users'!F7</f>
        <v>11354.352801914607</v>
      </c>
      <c r="J12" s="59">
        <f>'TB Users'!G7</f>
        <v>11629.891273423877</v>
      </c>
      <c r="K12" s="59">
        <f>'TB Users'!H7</f>
        <v>11905.429744933148</v>
      </c>
      <c r="L12" s="59">
        <f>'TB Users'!I7</f>
        <v>12180.968216442414</v>
      </c>
      <c r="M12" s="59">
        <f>'TB Users'!J7</f>
        <v>12456.506687951687</v>
      </c>
      <c r="N12" s="59">
        <f>'TB Users'!K7</f>
        <v>12732.045159460957</v>
      </c>
      <c r="O12" s="59">
        <f>'TB Users'!L7</f>
        <v>12827.888568684073</v>
      </c>
      <c r="P12" s="59">
        <f>'TB Users'!M7</f>
        <v>12923.73197790719</v>
      </c>
      <c r="Q12" s="59">
        <f>'TB Users'!N7</f>
        <v>13019.5753871303</v>
      </c>
      <c r="R12" s="59">
        <f>'TB Users'!O7</f>
        <v>13115.41879635342</v>
      </c>
      <c r="S12" s="59">
        <f>'TB Users'!P7</f>
        <v>13211.262205576533</v>
      </c>
      <c r="T12" s="59">
        <f>'TB Users'!Q7</f>
        <v>13307.105614799648</v>
      </c>
      <c r="U12" s="59">
        <f>'TB Users'!R7</f>
        <v>13402.949024022762</v>
      </c>
      <c r="V12" s="59">
        <f>'TB Users'!S7</f>
        <v>13498.792433245877</v>
      </c>
      <c r="W12" s="59">
        <f>'TB Users'!T7</f>
        <v>13594.63584246899</v>
      </c>
      <c r="X12" s="59">
        <f>'TB Users'!U7</f>
        <v>13690.47925169211</v>
      </c>
      <c r="Y12" s="59">
        <f>'TB Users'!V7</f>
        <v>13786.322660915223</v>
      </c>
      <c r="Z12" s="59">
        <f>'TB Users'!W7</f>
        <v>13882.166070138337</v>
      </c>
      <c r="AA12" s="59">
        <f>'TB Users'!X7</f>
        <v>13978.009479361453</v>
      </c>
      <c r="AB12" s="59">
        <f>'TB Users'!Y7</f>
        <v>14073.85288858457</v>
      </c>
      <c r="AC12" s="284">
        <f>'TB Users'!Z7</f>
        <v>14169.696297807686</v>
      </c>
      <c r="AD12" s="362">
        <f t="shared" si="0"/>
        <v>285819.89471322013</v>
      </c>
    </row>
    <row r="13" spans="1:33" s="53" customFormat="1" ht="12">
      <c r="A13" s="58"/>
      <c r="B13" s="70"/>
      <c r="D13" s="228"/>
      <c r="E13" s="235"/>
      <c r="AC13" s="283"/>
      <c r="AD13" s="362">
        <f t="shared" si="0"/>
        <v>0</v>
      </c>
    </row>
    <row r="14" spans="1:33" s="53" customFormat="1" ht="12">
      <c r="A14" s="58"/>
      <c r="B14" s="5" t="s">
        <v>277</v>
      </c>
      <c r="D14" s="228"/>
      <c r="E14" s="235"/>
      <c r="AC14" s="283"/>
      <c r="AD14" s="362">
        <f t="shared" si="0"/>
        <v>0</v>
      </c>
    </row>
    <row r="15" spans="1:33" s="53" customFormat="1" ht="12">
      <c r="A15" s="58"/>
      <c r="B15" s="70" t="s">
        <v>463</v>
      </c>
      <c r="C15" s="70" t="s">
        <v>366</v>
      </c>
      <c r="D15" s="228"/>
      <c r="E15" s="235"/>
      <c r="F15" s="59">
        <f>'TB Users'!C11</f>
        <v>0</v>
      </c>
      <c r="G15" s="59">
        <f>'TB Users'!D11</f>
        <v>0</v>
      </c>
      <c r="H15" s="59">
        <f>'TB Users'!E11</f>
        <v>31919.85490665726</v>
      </c>
      <c r="I15" s="59">
        <f>'TB Users'!F11</f>
        <v>32713.72578213895</v>
      </c>
      <c r="J15" s="59">
        <f>'TB Users'!G11</f>
        <v>33507.596657620641</v>
      </c>
      <c r="K15" s="59">
        <f>'TB Users'!H11</f>
        <v>34301.467533102339</v>
      </c>
      <c r="L15" s="59">
        <f>'TB Users'!I11</f>
        <v>35095.338408584023</v>
      </c>
      <c r="M15" s="59">
        <f>'TB Users'!J11</f>
        <v>35889.209284065721</v>
      </c>
      <c r="N15" s="59">
        <f>'TB Users'!K11</f>
        <v>36683.080159547419</v>
      </c>
      <c r="O15" s="59">
        <f>'TB Users'!L11</f>
        <v>36959.220514004395</v>
      </c>
      <c r="P15" s="59">
        <f>'TB Users'!M11</f>
        <v>37235.360868461386</v>
      </c>
      <c r="Q15" s="59">
        <f>'TB Users'!N11</f>
        <v>37511.501222918363</v>
      </c>
      <c r="R15" s="59">
        <f>'TB Users'!O11</f>
        <v>37787.64157737534</v>
      </c>
      <c r="S15" s="59">
        <f>'TB Users'!P11</f>
        <v>38063.781931832324</v>
      </c>
      <c r="T15" s="59">
        <f>'TB Users'!Q11</f>
        <v>38339.922286289308</v>
      </c>
      <c r="U15" s="59">
        <f>'TB Users'!R11</f>
        <v>38616.062640746284</v>
      </c>
      <c r="V15" s="59">
        <f>'TB Users'!S11</f>
        <v>38892.202995203268</v>
      </c>
      <c r="W15" s="59">
        <f>'TB Users'!T11</f>
        <v>39168.343349660245</v>
      </c>
      <c r="X15" s="59">
        <f>'TB Users'!U11</f>
        <v>39444.483704117229</v>
      </c>
      <c r="Y15" s="59">
        <f>'TB Users'!V11</f>
        <v>39720.624058574213</v>
      </c>
      <c r="Z15" s="59">
        <f>'TB Users'!W11</f>
        <v>39996.764413031189</v>
      </c>
      <c r="AA15" s="59">
        <f>'TB Users'!X11</f>
        <v>40272.904767488173</v>
      </c>
      <c r="AB15" s="59">
        <f>'TB Users'!Y11</f>
        <v>40549.045121945157</v>
      </c>
      <c r="AC15" s="284">
        <f>'TB Users'!Z11</f>
        <v>40825.185476402134</v>
      </c>
      <c r="AD15" s="362">
        <f t="shared" si="0"/>
        <v>823493.31765976537</v>
      </c>
      <c r="AG15" s="390"/>
    </row>
    <row r="16" spans="1:33" s="53" customFormat="1" ht="12">
      <c r="A16" s="58"/>
      <c r="B16" s="70" t="s">
        <v>462</v>
      </c>
      <c r="C16" s="54" t="s">
        <v>433</v>
      </c>
      <c r="D16" s="228"/>
      <c r="E16" s="235"/>
      <c r="F16" s="59">
        <f>'TB Users'!C12</f>
        <v>0</v>
      </c>
      <c r="G16" s="59">
        <f>'TB Users'!D12</f>
        <v>0</v>
      </c>
      <c r="H16" s="59">
        <f>'TB Users'!E12</f>
        <v>957.59564719971775</v>
      </c>
      <c r="I16" s="59">
        <f>'TB Users'!F12</f>
        <v>981.4117734641685</v>
      </c>
      <c r="J16" s="59">
        <f>'TB Users'!G12</f>
        <v>1005.2278997286191</v>
      </c>
      <c r="K16" s="59">
        <f>'TB Users'!H12</f>
        <v>1029.0440259930701</v>
      </c>
      <c r="L16" s="59">
        <f>'TB Users'!I12</f>
        <v>1052.8601522575207</v>
      </c>
      <c r="M16" s="59">
        <f>'TB Users'!J12</f>
        <v>1076.6762785219717</v>
      </c>
      <c r="N16" s="59">
        <f>'TB Users'!K12</f>
        <v>1100.4924047864224</v>
      </c>
      <c r="O16" s="59">
        <f>'TB Users'!L12</f>
        <v>1108.7766154201317</v>
      </c>
      <c r="P16" s="59">
        <f>'TB Users'!M12</f>
        <v>1117.0608260538415</v>
      </c>
      <c r="Q16" s="59">
        <f>'TB Users'!N12</f>
        <v>1125.3450366875509</v>
      </c>
      <c r="R16" s="59">
        <f>'TB Users'!O12</f>
        <v>1133.6292473212602</v>
      </c>
      <c r="S16" s="59">
        <f>'TB Users'!P12</f>
        <v>1141.9134579549698</v>
      </c>
      <c r="T16" s="59">
        <f>'TB Users'!Q12</f>
        <v>1150.1976685886791</v>
      </c>
      <c r="U16" s="59">
        <f>'TB Users'!R12</f>
        <v>1158.4818792223884</v>
      </c>
      <c r="V16" s="59">
        <f>'TB Users'!S12</f>
        <v>1166.766089856098</v>
      </c>
      <c r="W16" s="59">
        <f>'TB Users'!T12</f>
        <v>1175.0503004898073</v>
      </c>
      <c r="X16" s="59">
        <f>'TB Users'!U12</f>
        <v>1183.3345111235169</v>
      </c>
      <c r="Y16" s="59">
        <f>'TB Users'!V12</f>
        <v>1191.6187217572262</v>
      </c>
      <c r="Z16" s="59">
        <f>'TB Users'!W12</f>
        <v>1199.9029323909356</v>
      </c>
      <c r="AA16" s="59">
        <f>'TB Users'!X12</f>
        <v>1208.1871430246451</v>
      </c>
      <c r="AB16" s="59">
        <f>'TB Users'!Y12</f>
        <v>1216.4713536583547</v>
      </c>
      <c r="AC16" s="284">
        <f>'TB Users'!Z12</f>
        <v>1224.755564292064</v>
      </c>
      <c r="AD16" s="362">
        <f t="shared" si="0"/>
        <v>24704.799529792959</v>
      </c>
      <c r="AG16" s="390"/>
    </row>
    <row r="17" spans="1:33" s="53" customFormat="1" ht="12">
      <c r="A17" s="58"/>
      <c r="B17" s="70"/>
      <c r="C17" s="78" t="s">
        <v>427</v>
      </c>
      <c r="D17" s="228"/>
      <c r="E17" s="235"/>
      <c r="F17" s="59">
        <f>'TB Users'!C13</f>
        <v>0</v>
      </c>
      <c r="G17" s="59">
        <f>'TB Users'!D13</f>
        <v>0</v>
      </c>
      <c r="H17" s="59">
        <f>'TB Users'!E13</f>
        <v>638.39709813314516</v>
      </c>
      <c r="I17" s="59">
        <f>'TB Users'!F13</f>
        <v>654.27451564277897</v>
      </c>
      <c r="J17" s="59">
        <f>'TB Users'!G13</f>
        <v>670.15193315241288</v>
      </c>
      <c r="K17" s="59">
        <f>'TB Users'!H13</f>
        <v>686.0293506620468</v>
      </c>
      <c r="L17" s="59">
        <f>'TB Users'!I13</f>
        <v>701.90676817168048</v>
      </c>
      <c r="M17" s="59">
        <f>'TB Users'!J13</f>
        <v>717.7841856813144</v>
      </c>
      <c r="N17" s="59">
        <f>'TB Users'!K13</f>
        <v>733.66160319094843</v>
      </c>
      <c r="O17" s="59">
        <f>'TB Users'!L13</f>
        <v>739.18441028008795</v>
      </c>
      <c r="P17" s="59">
        <f>'TB Users'!M13</f>
        <v>744.70721736922769</v>
      </c>
      <c r="Q17" s="59">
        <f>'TB Users'!N13</f>
        <v>750.23002445836732</v>
      </c>
      <c r="R17" s="59">
        <f>'TB Users'!O13</f>
        <v>755.75283154750684</v>
      </c>
      <c r="S17" s="59">
        <f>'TB Users'!P13</f>
        <v>761.27563863664648</v>
      </c>
      <c r="T17" s="59">
        <f>'TB Users'!Q13</f>
        <v>766.79844572578622</v>
      </c>
      <c r="U17" s="59">
        <f>'TB Users'!R13</f>
        <v>772.32125281492574</v>
      </c>
      <c r="V17" s="59">
        <f>'TB Users'!S13</f>
        <v>777.84405990406538</v>
      </c>
      <c r="W17" s="59">
        <f>'TB Users'!T13</f>
        <v>783.36686699320489</v>
      </c>
      <c r="X17" s="59">
        <f>'TB Users'!U13</f>
        <v>788.88967408234464</v>
      </c>
      <c r="Y17" s="59">
        <f>'TB Users'!V13</f>
        <v>794.41248117148427</v>
      </c>
      <c r="Z17" s="59">
        <f>'TB Users'!W13</f>
        <v>799.93528826062379</v>
      </c>
      <c r="AA17" s="59">
        <f>'TB Users'!X13</f>
        <v>805.45809534976343</v>
      </c>
      <c r="AB17" s="59">
        <f>'TB Users'!Y13</f>
        <v>810.98090243890317</v>
      </c>
      <c r="AC17" s="284">
        <f>'TB Users'!Z13</f>
        <v>816.50370952804269</v>
      </c>
      <c r="AD17" s="362">
        <f t="shared" si="0"/>
        <v>16469.866353195306</v>
      </c>
      <c r="AG17" s="70" t="s">
        <v>570</v>
      </c>
    </row>
    <row r="18" spans="1:33" s="53" customFormat="1" ht="12">
      <c r="A18" s="58"/>
      <c r="B18" s="70"/>
      <c r="C18" s="48"/>
      <c r="D18" s="228"/>
      <c r="E18" s="235"/>
      <c r="AC18" s="283"/>
      <c r="AD18" s="362">
        <f t="shared" si="0"/>
        <v>0</v>
      </c>
      <c r="AG18" s="391">
        <f>AD45+AD57+AD64</f>
        <v>3217914.6380945668</v>
      </c>
    </row>
    <row r="19" spans="1:33" s="53" customFormat="1" ht="12">
      <c r="A19" s="58"/>
      <c r="B19" s="70"/>
      <c r="C19" s="58" t="s">
        <v>436</v>
      </c>
      <c r="D19" s="228"/>
      <c r="E19" s="235"/>
      <c r="AC19" s="283"/>
      <c r="AD19" s="361">
        <f t="shared" si="0"/>
        <v>0</v>
      </c>
      <c r="AG19" s="308" t="e">
        <f>+#REF!+#REF!+#REF!+AD166+AD164</f>
        <v>#REF!</v>
      </c>
    </row>
    <row r="20" spans="1:33" s="53" customFormat="1" ht="12">
      <c r="A20" s="58"/>
      <c r="B20" s="70"/>
      <c r="C20" s="78" t="s">
        <v>505</v>
      </c>
      <c r="D20" s="228"/>
      <c r="E20" s="235"/>
      <c r="F20" s="299">
        <f>'TB Users'!C24</f>
        <v>0</v>
      </c>
      <c r="G20" s="299">
        <f>'TB Users'!D24</f>
        <v>0</v>
      </c>
      <c r="H20" s="299">
        <f>'TB Users'!E24</f>
        <v>29293.028571346204</v>
      </c>
      <c r="I20" s="299">
        <f>'TB Users'!F24</f>
        <v>30021.568293893462</v>
      </c>
      <c r="J20" s="299">
        <f>'TB Users'!G24</f>
        <v>30750.108016440721</v>
      </c>
      <c r="K20" s="299">
        <f>'TB Users'!H24</f>
        <v>31478.647738987984</v>
      </c>
      <c r="L20" s="299">
        <f>'TB Users'!I24</f>
        <v>32207.187461535232</v>
      </c>
      <c r="M20" s="299">
        <f>'TB Users'!J24</f>
        <v>32935.727184082505</v>
      </c>
      <c r="N20" s="299">
        <f>'TB Users'!K24</f>
        <v>33664.266906629768</v>
      </c>
      <c r="O20" s="299">
        <f>'TB Users'!L24</f>
        <v>33917.6824474104</v>
      </c>
      <c r="P20" s="299">
        <f>'TB Users'!M24</f>
        <v>34171.097988191046</v>
      </c>
      <c r="Q20" s="299">
        <f>'TB Users'!N24</f>
        <v>34424.513528971664</v>
      </c>
      <c r="R20" s="299">
        <f>'TB Users'!O24</f>
        <v>34677.929069752317</v>
      </c>
      <c r="S20" s="299">
        <f>'TB Users'!P24</f>
        <v>34931.344610532949</v>
      </c>
      <c r="T20" s="299">
        <f>'TB Users'!Q24</f>
        <v>35184.760151313581</v>
      </c>
      <c r="U20" s="299">
        <f>'TB Users'!R24</f>
        <v>35438.175692094213</v>
      </c>
      <c r="V20" s="299">
        <f>'TB Users'!S24</f>
        <v>35691.591232874853</v>
      </c>
      <c r="W20" s="299">
        <f>'TB Users'!T24</f>
        <v>35945.006773655492</v>
      </c>
      <c r="X20" s="299">
        <f>'TB Users'!U24</f>
        <v>36198.422314436139</v>
      </c>
      <c r="Y20" s="299">
        <f>'TB Users'!V24</f>
        <v>36451.837855216771</v>
      </c>
      <c r="Z20" s="299">
        <f>'TB Users'!W24</f>
        <v>36705.253395997403</v>
      </c>
      <c r="AA20" s="299">
        <f>'TB Users'!X24</f>
        <v>36958.668936778042</v>
      </c>
      <c r="AB20" s="299">
        <f>'TB Users'!Y24</f>
        <v>37212.084477558674</v>
      </c>
      <c r="AC20" s="408">
        <f>'TB Users'!Z24</f>
        <v>37465.50001833932</v>
      </c>
      <c r="AD20" s="364">
        <f t="shared" si="0"/>
        <v>755724.40266603883</v>
      </c>
    </row>
    <row r="21" spans="1:33" s="53" customFormat="1" ht="12">
      <c r="A21" s="58"/>
      <c r="B21" s="70"/>
      <c r="C21" s="78" t="s">
        <v>506</v>
      </c>
      <c r="D21" s="228"/>
      <c r="E21" s="235"/>
      <c r="F21" s="299">
        <f>'TB Users'!C25</f>
        <v>0</v>
      </c>
      <c r="G21" s="299">
        <f>'TB Users'!D25</f>
        <v>0</v>
      </c>
      <c r="H21" s="299">
        <f>'TB Users'!E25</f>
        <v>-845.9222535145891</v>
      </c>
      <c r="I21" s="299">
        <f>'TB Users'!F25</f>
        <v>-866.96097821903675</v>
      </c>
      <c r="J21" s="299">
        <f>'TB Users'!G25</f>
        <v>-887.99970292348428</v>
      </c>
      <c r="K21" s="299">
        <f>'TB Users'!H25</f>
        <v>-909.03842762793204</v>
      </c>
      <c r="L21" s="299">
        <f>'TB Users'!I25</f>
        <v>-930.07715233237923</v>
      </c>
      <c r="M21" s="299">
        <f>'TB Users'!J25</f>
        <v>-951.11587703682733</v>
      </c>
      <c r="N21" s="299">
        <f>'TB Users'!K25</f>
        <v>-972.15460174127497</v>
      </c>
      <c r="O21" s="299">
        <f>'TB Users'!L25</f>
        <v>-979.47271993484628</v>
      </c>
      <c r="P21" s="299">
        <f>'TB Users'!M25</f>
        <v>-986.79083812841793</v>
      </c>
      <c r="Q21" s="299">
        <f>'TB Users'!N25</f>
        <v>-994.10895632198867</v>
      </c>
      <c r="R21" s="299">
        <f>'TB Users'!O25</f>
        <v>-1001.4270745155605</v>
      </c>
      <c r="S21" s="299">
        <f>'TB Users'!P25</f>
        <v>-1008.7451927091317</v>
      </c>
      <c r="T21" s="299">
        <f>'TB Users'!Q25</f>
        <v>-1016.0633109027031</v>
      </c>
      <c r="U21" s="299">
        <f>'TB Users'!R25</f>
        <v>-1023.3814290962742</v>
      </c>
      <c r="V21" s="299">
        <f>'TB Users'!S25</f>
        <v>-1030.6995472898457</v>
      </c>
      <c r="W21" s="299">
        <f>'TB Users'!T25</f>
        <v>-1038.0176654834172</v>
      </c>
      <c r="X21" s="299">
        <f>'TB Users'!U25</f>
        <v>-1045.3357836769887</v>
      </c>
      <c r="Y21" s="299">
        <f>'TB Users'!V25</f>
        <v>-1052.65390187056</v>
      </c>
      <c r="Z21" s="299">
        <f>'TB Users'!W25</f>
        <v>-1059.9720200641311</v>
      </c>
      <c r="AA21" s="299">
        <f>'TB Users'!X25</f>
        <v>-1067.2901382577027</v>
      </c>
      <c r="AB21" s="299">
        <f>'TB Users'!Y25</f>
        <v>-1074.608256451274</v>
      </c>
      <c r="AC21" s="408">
        <f>'TB Users'!Z25</f>
        <v>-1081.9263746448455</v>
      </c>
      <c r="AD21" s="364">
        <f t="shared" si="0"/>
        <v>-21823.762202743208</v>
      </c>
    </row>
    <row r="22" spans="1:33" s="53" customFormat="1" ht="12">
      <c r="A22" s="58"/>
      <c r="B22" s="70"/>
      <c r="C22" s="78" t="s">
        <v>507</v>
      </c>
      <c r="D22" s="228"/>
      <c r="E22" s="235"/>
      <c r="F22" s="299">
        <f>'TB Users'!C26</f>
        <v>0</v>
      </c>
      <c r="G22" s="299">
        <f>'TB Users'!D26</f>
        <v>0</v>
      </c>
      <c r="H22" s="299">
        <f>'TB Users'!E26</f>
        <v>-17575.817142807722</v>
      </c>
      <c r="I22" s="299">
        <f>'TB Users'!F26</f>
        <v>-18012.940976336078</v>
      </c>
      <c r="J22" s="299">
        <f>'TB Users'!G26</f>
        <v>-18450.064809864431</v>
      </c>
      <c r="K22" s="299">
        <f>'TB Users'!H26</f>
        <v>-18887.18864339279</v>
      </c>
      <c r="L22" s="299">
        <f>'TB Users'!I26</f>
        <v>-19324.312476921139</v>
      </c>
      <c r="M22" s="299">
        <f>'TB Users'!J26</f>
        <v>-19761.436310449502</v>
      </c>
      <c r="N22" s="299">
        <f>'TB Users'!K26</f>
        <v>-20198.560143977855</v>
      </c>
      <c r="O22" s="299">
        <f>'TB Users'!L26</f>
        <v>-20350.609468446237</v>
      </c>
      <c r="P22" s="299">
        <f>'TB Users'!M26</f>
        <v>-20502.658792914626</v>
      </c>
      <c r="Q22" s="299">
        <f>'TB Users'!N26</f>
        <v>-20654.708117383001</v>
      </c>
      <c r="R22" s="299">
        <f>'TB Users'!O26</f>
        <v>-20806.757441851387</v>
      </c>
      <c r="S22" s="299">
        <f>'TB Users'!P26</f>
        <v>-20958.806766319769</v>
      </c>
      <c r="T22" s="299">
        <f>'TB Users'!Q26</f>
        <v>-21110.856090788151</v>
      </c>
      <c r="U22" s="299">
        <f>'TB Users'!R26</f>
        <v>-21262.90541525653</v>
      </c>
      <c r="V22" s="299">
        <f>'TB Users'!S26</f>
        <v>-21414.954739724912</v>
      </c>
      <c r="W22" s="299">
        <f>'TB Users'!T26</f>
        <v>-21567.004064193294</v>
      </c>
      <c r="X22" s="299">
        <f>'TB Users'!U26</f>
        <v>-21719.053388661679</v>
      </c>
      <c r="Y22" s="299">
        <f>'TB Users'!V26</f>
        <v>-21871.102713130058</v>
      </c>
      <c r="Z22" s="299">
        <f>'TB Users'!W26</f>
        <v>-22023.15203759844</v>
      </c>
      <c r="AA22" s="299">
        <f>'TB Users'!X26</f>
        <v>-22175.201362066826</v>
      </c>
      <c r="AB22" s="299">
        <f>'TB Users'!Y26</f>
        <v>-22327.250686535208</v>
      </c>
      <c r="AC22" s="408">
        <f>'TB Users'!Z26</f>
        <v>-22479.300011003594</v>
      </c>
      <c r="AD22" s="364">
        <f t="shared" si="0"/>
        <v>-453434.64159962325</v>
      </c>
    </row>
    <row r="23" spans="1:33" s="53" customFormat="1" ht="12">
      <c r="A23" s="58"/>
      <c r="B23" s="70"/>
      <c r="C23" s="78" t="s">
        <v>508</v>
      </c>
      <c r="D23" s="228"/>
      <c r="E23" s="235"/>
      <c r="F23" s="299">
        <f>'TB Users'!C27</f>
        <v>0</v>
      </c>
      <c r="G23" s="299">
        <f>'TB Users'!D27</f>
        <v>0</v>
      </c>
      <c r="H23" s="299">
        <f>'TB Users'!E27</f>
        <v>-114242.81142825019</v>
      </c>
      <c r="I23" s="299">
        <f>'TB Users'!F27</f>
        <v>-117084.11634618451</v>
      </c>
      <c r="J23" s="299">
        <f>'TB Users'!G27</f>
        <v>-119925.42126411881</v>
      </c>
      <c r="K23" s="299">
        <f>'TB Users'!H27</f>
        <v>-122766.72618205314</v>
      </c>
      <c r="L23" s="299">
        <f>'TB Users'!I27</f>
        <v>-125608.03109998741</v>
      </c>
      <c r="M23" s="299">
        <f>'TB Users'!J27</f>
        <v>-128449.33601792177</v>
      </c>
      <c r="N23" s="299">
        <f>'TB Users'!K27</f>
        <v>-131290.64093585606</v>
      </c>
      <c r="O23" s="299">
        <f>'TB Users'!L27</f>
        <v>-132278.96154490055</v>
      </c>
      <c r="P23" s="299">
        <f>'TB Users'!M27</f>
        <v>-133267.28215394507</v>
      </c>
      <c r="Q23" s="299">
        <f>'TB Users'!N27</f>
        <v>-134255.6027629895</v>
      </c>
      <c r="R23" s="299">
        <f>'TB Users'!O27</f>
        <v>-135243.92337203401</v>
      </c>
      <c r="S23" s="299">
        <f>'TB Users'!P27</f>
        <v>-136232.2439810785</v>
      </c>
      <c r="T23" s="299">
        <f>'TB Users'!Q27</f>
        <v>-137220.56459012299</v>
      </c>
      <c r="U23" s="299">
        <f>'TB Users'!R27</f>
        <v>-138208.88519916745</v>
      </c>
      <c r="V23" s="299">
        <f>'TB Users'!S27</f>
        <v>-139197.20580821193</v>
      </c>
      <c r="W23" s="299">
        <f>'TB Users'!T27</f>
        <v>-140185.52641725642</v>
      </c>
      <c r="X23" s="299">
        <f>'TB Users'!U27</f>
        <v>-141173.84702630091</v>
      </c>
      <c r="Y23" s="299">
        <f>'TB Users'!V27</f>
        <v>-142162.16763534537</v>
      </c>
      <c r="Z23" s="299">
        <f>'TB Users'!W27</f>
        <v>-143150.48824438985</v>
      </c>
      <c r="AA23" s="299">
        <f>'TB Users'!X27</f>
        <v>-144138.80885343437</v>
      </c>
      <c r="AB23" s="299">
        <f>'TB Users'!Y27</f>
        <v>-145127.12946247886</v>
      </c>
      <c r="AC23" s="408">
        <f>'TB Users'!Z27</f>
        <v>-146115.45007152337</v>
      </c>
      <c r="AD23" s="364">
        <f t="shared" si="0"/>
        <v>-2947325.1703975508</v>
      </c>
    </row>
    <row r="24" spans="1:33" s="53" customFormat="1" ht="12">
      <c r="A24" s="58"/>
      <c r="B24" s="70"/>
      <c r="C24" s="54" t="s">
        <v>509</v>
      </c>
      <c r="D24" s="228"/>
      <c r="E24" s="235"/>
      <c r="F24" s="459">
        <f>'TB Users'!C28</f>
        <v>0</v>
      </c>
      <c r="G24" s="459">
        <f>'TB Users'!D28</f>
        <v>0</v>
      </c>
      <c r="H24" s="459">
        <f>'TB Users'!E28</f>
        <v>19678.479250813878</v>
      </c>
      <c r="I24" s="459">
        <f>'TB Users'!F28</f>
        <v>19723.391389477045</v>
      </c>
      <c r="J24" s="459">
        <f>'TB Users'!G28</f>
        <v>19766.366467652664</v>
      </c>
      <c r="K24" s="459">
        <f>'TB Users'!H28</f>
        <v>19807.527158029112</v>
      </c>
      <c r="L24" s="459">
        <f>'TB Users'!I28</f>
        <v>19846.985989069351</v>
      </c>
      <c r="M24" s="459">
        <f>'TB Users'!J28</f>
        <v>19884.846372348486</v>
      </c>
      <c r="N24" s="459">
        <f>'TB Users'!K28</f>
        <v>19921.203507519698</v>
      </c>
      <c r="O24" s="459">
        <f>'TB Users'!L28</f>
        <v>20060.536342107593</v>
      </c>
      <c r="P24" s="459">
        <f>'TB Users'!M28</f>
        <v>20199.721688248203</v>
      </c>
      <c r="Q24" s="459">
        <f>'TB Users'!N28</f>
        <v>20338.759779999793</v>
      </c>
      <c r="R24" s="459">
        <f>'TB Users'!O28</f>
        <v>20477.650850925667</v>
      </c>
      <c r="S24" s="459">
        <f>'TB Users'!P28</f>
        <v>20616.395134095401</v>
      </c>
      <c r="T24" s="459">
        <f>'TB Users'!Q28</f>
        <v>20754.992862086212</v>
      </c>
      <c r="U24" s="459">
        <f>'TB Users'!R28</f>
        <v>20893.444266984228</v>
      </c>
      <c r="V24" s="459">
        <f>'TB Users'!S28</f>
        <v>21031.749580385807</v>
      </c>
      <c r="W24" s="459">
        <f>'TB Users'!T28</f>
        <v>21169.909033398792</v>
      </c>
      <c r="X24" s="459">
        <f>'TB Users'!U28</f>
        <v>21307.922856643821</v>
      </c>
      <c r="Y24" s="459">
        <f>'TB Users'!V28</f>
        <v>21445.791280255617</v>
      </c>
      <c r="Z24" s="459">
        <f>'TB Users'!W28</f>
        <v>21583.514533884256</v>
      </c>
      <c r="AA24" s="459">
        <f>'TB Users'!X28</f>
        <v>21721.092846696432</v>
      </c>
      <c r="AB24" s="459">
        <f>'TB Users'!Y28</f>
        <v>21858.526447376753</v>
      </c>
      <c r="AC24" s="460">
        <f>'TB Users'!Z28</f>
        <v>21995.815564128992</v>
      </c>
      <c r="AD24" s="365">
        <f t="shared" si="0"/>
        <v>454084.62320212775</v>
      </c>
    </row>
    <row r="25" spans="1:33" s="53" customFormat="1" ht="12">
      <c r="A25" s="58"/>
      <c r="B25" s="70"/>
      <c r="C25" s="66"/>
      <c r="D25" s="228"/>
      <c r="E25" s="235"/>
      <c r="H25" s="59"/>
      <c r="I25" s="59"/>
      <c r="J25" s="59"/>
      <c r="K25" s="59"/>
      <c r="L25" s="59"/>
      <c r="M25" s="59"/>
      <c r="N25" s="59"/>
      <c r="O25" s="59"/>
      <c r="P25" s="59"/>
      <c r="Q25" s="59"/>
      <c r="R25" s="59"/>
      <c r="S25" s="59"/>
      <c r="T25" s="59"/>
      <c r="U25" s="59"/>
      <c r="V25" s="59"/>
      <c r="W25" s="59"/>
      <c r="X25" s="59"/>
      <c r="Y25" s="59"/>
      <c r="AC25" s="283"/>
      <c r="AD25" s="361">
        <f t="shared" si="0"/>
        <v>0</v>
      </c>
    </row>
    <row r="26" spans="1:33" s="53" customFormat="1" ht="12">
      <c r="A26" s="58" t="s">
        <v>233</v>
      </c>
      <c r="B26" s="58"/>
      <c r="D26" s="228"/>
      <c r="E26" s="235"/>
      <c r="H26" s="59"/>
      <c r="I26" s="59"/>
      <c r="J26" s="59"/>
      <c r="K26" s="59"/>
      <c r="L26" s="59"/>
      <c r="M26" s="59"/>
      <c r="N26" s="59"/>
      <c r="O26" s="59"/>
      <c r="P26" s="59"/>
      <c r="Q26" s="59"/>
      <c r="R26" s="59"/>
      <c r="S26" s="59"/>
      <c r="T26" s="59"/>
      <c r="U26" s="59"/>
      <c r="V26" s="59"/>
      <c r="W26" s="59"/>
      <c r="X26" s="59"/>
      <c r="Y26" s="59"/>
      <c r="AC26" s="283"/>
      <c r="AD26" s="361">
        <f t="shared" si="0"/>
        <v>0</v>
      </c>
    </row>
    <row r="27" spans="1:33" s="53" customFormat="1" ht="12">
      <c r="A27" s="58"/>
      <c r="B27" s="5" t="s">
        <v>369</v>
      </c>
      <c r="D27" s="228"/>
      <c r="E27" s="235"/>
      <c r="H27" s="59"/>
      <c r="I27" s="59"/>
      <c r="J27" s="59"/>
      <c r="K27" s="59"/>
      <c r="L27" s="59"/>
      <c r="M27" s="59"/>
      <c r="N27" s="59"/>
      <c r="O27" s="59"/>
      <c r="P27" s="59"/>
      <c r="Q27" s="59"/>
      <c r="R27" s="59"/>
      <c r="S27" s="59"/>
      <c r="T27" s="59"/>
      <c r="U27" s="59"/>
      <c r="V27" s="59"/>
      <c r="W27" s="59"/>
      <c r="X27" s="59"/>
      <c r="Y27" s="59"/>
      <c r="AC27" s="283"/>
      <c r="AD27" s="361">
        <f t="shared" si="0"/>
        <v>0</v>
      </c>
    </row>
    <row r="28" spans="1:33" s="53" customFormat="1" ht="12">
      <c r="A28" s="58"/>
      <c r="B28" s="70" t="s">
        <v>370</v>
      </c>
      <c r="C28" s="70" t="s">
        <v>366</v>
      </c>
      <c r="D28" s="228"/>
      <c r="E28" s="235"/>
      <c r="F28" s="458">
        <f>'TB Users'!C18</f>
        <v>0</v>
      </c>
      <c r="G28" s="458">
        <f>'TB Users'!D18</f>
        <v>1280180.4146911835</v>
      </c>
      <c r="H28" s="458">
        <f>'TB Users'!E18</f>
        <v>0</v>
      </c>
      <c r="I28" s="458">
        <f>'TB Users'!F18</f>
        <v>0</v>
      </c>
      <c r="J28" s="458">
        <f>'TB Users'!G18</f>
        <v>0</v>
      </c>
      <c r="K28" s="458">
        <f>'TB Users'!H18</f>
        <v>0</v>
      </c>
      <c r="L28" s="458">
        <f>'TB Users'!I18</f>
        <v>0</v>
      </c>
      <c r="M28" s="458">
        <f>'TB Users'!J18</f>
        <v>0</v>
      </c>
      <c r="N28" s="458">
        <f>'TB Users'!K18</f>
        <v>0</v>
      </c>
      <c r="O28" s="458">
        <f>'TB Users'!L18</f>
        <v>0</v>
      </c>
      <c r="P28" s="458">
        <f>'TB Users'!M18</f>
        <v>0</v>
      </c>
      <c r="Q28" s="458">
        <f>'TB Users'!N18</f>
        <v>0</v>
      </c>
      <c r="R28" s="458">
        <f>'TB Users'!O18</f>
        <v>0</v>
      </c>
      <c r="S28" s="458">
        <f>'TB Users'!P18</f>
        <v>0</v>
      </c>
      <c r="T28" s="458">
        <f>'TB Users'!Q18</f>
        <v>0</v>
      </c>
      <c r="U28" s="458">
        <f>'TB Users'!R18</f>
        <v>0</v>
      </c>
      <c r="V28" s="458">
        <f>'TB Users'!S18</f>
        <v>0</v>
      </c>
      <c r="W28" s="458">
        <f>'TB Users'!T18</f>
        <v>0</v>
      </c>
      <c r="X28" s="458">
        <f>'TB Users'!U18</f>
        <v>0</v>
      </c>
      <c r="Y28" s="458">
        <f>'TB Users'!V18</f>
        <v>0</v>
      </c>
      <c r="Z28" s="458">
        <f>'TB Users'!W18</f>
        <v>0</v>
      </c>
      <c r="AA28" s="458">
        <f>'TB Users'!X18</f>
        <v>0</v>
      </c>
      <c r="AB28" s="458">
        <f>'TB Users'!Y18</f>
        <v>0</v>
      </c>
      <c r="AC28" s="461">
        <f>'TB Users'!Z18</f>
        <v>0</v>
      </c>
      <c r="AD28" s="366">
        <f t="shared" si="0"/>
        <v>1280180.4146911835</v>
      </c>
    </row>
    <row r="29" spans="1:33" s="53" customFormat="1" ht="12">
      <c r="A29" s="58"/>
      <c r="B29" s="70" t="s">
        <v>371</v>
      </c>
      <c r="C29" s="70" t="s">
        <v>530</v>
      </c>
      <c r="D29" s="228"/>
      <c r="E29" s="235"/>
      <c r="F29" s="458">
        <f>'TB Users'!C19</f>
        <v>0</v>
      </c>
      <c r="G29" s="458">
        <f>'TB Users'!D19</f>
        <v>0</v>
      </c>
      <c r="H29" s="458">
        <f>'TB Users'!E19</f>
        <v>-8787.9085714038611</v>
      </c>
      <c r="I29" s="458">
        <f>'TB Users'!F19</f>
        <v>-9006.4704881680391</v>
      </c>
      <c r="J29" s="458">
        <f>'TB Users'!G19</f>
        <v>-9225.0324049322153</v>
      </c>
      <c r="K29" s="458">
        <f>'TB Users'!H19</f>
        <v>-9443.5943216963951</v>
      </c>
      <c r="L29" s="458">
        <f>'TB Users'!I19</f>
        <v>-9662.1562384605695</v>
      </c>
      <c r="M29" s="458">
        <f>'TB Users'!J19</f>
        <v>-9880.7181552247512</v>
      </c>
      <c r="N29" s="458">
        <f>'TB Users'!K19</f>
        <v>-10099.280071988927</v>
      </c>
      <c r="O29" s="458">
        <f>'TB Users'!L19</f>
        <v>-10175.304734223118</v>
      </c>
      <c r="P29" s="458">
        <f>'TB Users'!M19</f>
        <v>-10251.329396457313</v>
      </c>
      <c r="Q29" s="458">
        <f>'TB Users'!N19</f>
        <v>-10327.354058691501</v>
      </c>
      <c r="R29" s="458">
        <f>'TB Users'!O19</f>
        <v>-10403.378720925693</v>
      </c>
      <c r="S29" s="458">
        <f>'TB Users'!P19</f>
        <v>-10479.403383159884</v>
      </c>
      <c r="T29" s="458">
        <f>'TB Users'!Q19</f>
        <v>-10555.428045394076</v>
      </c>
      <c r="U29" s="458">
        <f>'TB Users'!R19</f>
        <v>-10631.452707628265</v>
      </c>
      <c r="V29" s="458">
        <f>'TB Users'!S19</f>
        <v>-10707.477369862456</v>
      </c>
      <c r="W29" s="458">
        <f>'TB Users'!T19</f>
        <v>-10783.502032096647</v>
      </c>
      <c r="X29" s="458">
        <f>'TB Users'!U19</f>
        <v>-10859.52669433084</v>
      </c>
      <c r="Y29" s="458">
        <f>'TB Users'!V19</f>
        <v>-10935.551356565029</v>
      </c>
      <c r="Z29" s="458">
        <f>'TB Users'!W19</f>
        <v>-11011.57601879922</v>
      </c>
      <c r="AA29" s="458">
        <f>'TB Users'!X19</f>
        <v>-11087.600681033413</v>
      </c>
      <c r="AB29" s="458">
        <f>'TB Users'!Y19</f>
        <v>-11163.625343267604</v>
      </c>
      <c r="AC29" s="461">
        <f>'TB Users'!Z19</f>
        <v>-11239.650005501797</v>
      </c>
      <c r="AD29" s="364">
        <f t="shared" si="0"/>
        <v>-226717.32079981163</v>
      </c>
    </row>
    <row r="30" spans="1:33" s="53" customFormat="1" ht="12">
      <c r="A30" s="58"/>
      <c r="B30" s="70"/>
      <c r="C30" s="70" t="s">
        <v>366</v>
      </c>
      <c r="D30" s="228"/>
      <c r="E30" s="235"/>
      <c r="F30" s="458">
        <f>'TB Users'!C20</f>
        <v>0</v>
      </c>
      <c r="G30" s="458">
        <f>'TB Users'!D20</f>
        <v>0</v>
      </c>
      <c r="H30" s="458">
        <f>'TB Users'!E20</f>
        <v>1304043.6167020984</v>
      </c>
      <c r="I30" s="458">
        <f>'TB Users'!F20</f>
        <v>1336476.1653676534</v>
      </c>
      <c r="J30" s="458">
        <f>'TB Users'!G20</f>
        <v>1368908.7140332083</v>
      </c>
      <c r="K30" s="458">
        <f>'TB Users'!H20</f>
        <v>1401341.2626987631</v>
      </c>
      <c r="L30" s="458">
        <f>'TB Users'!I20</f>
        <v>1433773.8113643173</v>
      </c>
      <c r="M30" s="458">
        <f>'TB Users'!J20</f>
        <v>1466206.3600298725</v>
      </c>
      <c r="N30" s="458">
        <f>'TB Users'!K20</f>
        <v>1498638.9086954275</v>
      </c>
      <c r="O30" s="458">
        <f>'TB Users'!L20</f>
        <v>1509920.2590523295</v>
      </c>
      <c r="P30" s="458">
        <f>'TB Users'!M20</f>
        <v>1521201.6094092315</v>
      </c>
      <c r="Q30" s="458">
        <f>'TB Users'!N20</f>
        <v>1532482.9597661335</v>
      </c>
      <c r="R30" s="458">
        <f>'TB Users'!O20</f>
        <v>1543764.3101230357</v>
      </c>
      <c r="S30" s="458">
        <f>'TB Users'!P20</f>
        <v>1555045.6604799379</v>
      </c>
      <c r="T30" s="458">
        <f>'TB Users'!Q20</f>
        <v>1566327.0108368399</v>
      </c>
      <c r="U30" s="458">
        <f>'TB Users'!R20</f>
        <v>1577608.3611937419</v>
      </c>
      <c r="V30" s="458">
        <f>'TB Users'!S20</f>
        <v>1588889.7115506439</v>
      </c>
      <c r="W30" s="458">
        <f>'TB Users'!T20</f>
        <v>1600171.0619075457</v>
      </c>
      <c r="X30" s="458">
        <f>'TB Users'!U20</f>
        <v>1611452.4122644479</v>
      </c>
      <c r="Y30" s="458">
        <f>'TB Users'!V20</f>
        <v>1622733.7626213504</v>
      </c>
      <c r="Z30" s="458">
        <f>'TB Users'!W20</f>
        <v>1634015.1129782519</v>
      </c>
      <c r="AA30" s="458">
        <f>'TB Users'!X20</f>
        <v>1645296.4633351546</v>
      </c>
      <c r="AB30" s="458">
        <f>'TB Users'!Y20</f>
        <v>1656577.8136920568</v>
      </c>
      <c r="AC30" s="461">
        <f>'TB Users'!Z20</f>
        <v>1667859.164048959</v>
      </c>
      <c r="AD30" s="366">
        <f t="shared" si="0"/>
        <v>33642734.512151003</v>
      </c>
    </row>
    <row r="31" spans="1:33" s="53" customFormat="1" ht="12">
      <c r="A31" s="58"/>
      <c r="B31" s="58"/>
      <c r="D31" s="228"/>
      <c r="E31" s="235"/>
      <c r="AC31" s="283"/>
      <c r="AD31" s="361">
        <f t="shared" si="0"/>
        <v>0</v>
      </c>
    </row>
    <row r="32" spans="1:33" s="53" customFormat="1" ht="12">
      <c r="A32" s="58"/>
      <c r="B32" s="58"/>
      <c r="D32" s="228"/>
      <c r="E32" s="235"/>
      <c r="H32" s="59"/>
      <c r="I32" s="59"/>
      <c r="J32" s="59"/>
      <c r="K32" s="59"/>
      <c r="L32" s="59"/>
      <c r="M32" s="59"/>
      <c r="N32" s="59"/>
      <c r="O32" s="59"/>
      <c r="P32" s="59"/>
      <c r="Q32" s="59"/>
      <c r="R32" s="59"/>
      <c r="S32" s="59"/>
      <c r="T32" s="59"/>
      <c r="U32" s="59"/>
      <c r="V32" s="59"/>
      <c r="W32" s="59"/>
      <c r="X32" s="59"/>
      <c r="Y32" s="59"/>
      <c r="AC32" s="283"/>
      <c r="AD32" s="361">
        <f t="shared" si="0"/>
        <v>0</v>
      </c>
    </row>
    <row r="33" spans="1:30" s="53" customFormat="1" ht="12">
      <c r="A33" s="58" t="s">
        <v>364</v>
      </c>
      <c r="B33" s="58"/>
      <c r="D33" s="228"/>
      <c r="E33" s="235"/>
      <c r="H33" s="59"/>
      <c r="I33" s="59"/>
      <c r="J33" s="59"/>
      <c r="K33" s="59"/>
      <c r="L33" s="59"/>
      <c r="M33" s="59"/>
      <c r="N33" s="59"/>
      <c r="O33" s="59"/>
      <c r="P33" s="59"/>
      <c r="Q33" s="59"/>
      <c r="R33" s="59"/>
      <c r="S33" s="59"/>
      <c r="T33" s="59"/>
      <c r="U33" s="59"/>
      <c r="V33" s="59"/>
      <c r="W33" s="59"/>
      <c r="X33" s="59"/>
      <c r="Y33" s="59"/>
      <c r="AC33" s="283"/>
      <c r="AD33" s="361">
        <f t="shared" si="0"/>
        <v>0</v>
      </c>
    </row>
    <row r="34" spans="1:30" s="53" customFormat="1" ht="12">
      <c r="A34" s="58"/>
      <c r="B34" s="58"/>
      <c r="C34" s="216" t="s">
        <v>365</v>
      </c>
      <c r="D34" s="228"/>
      <c r="E34" s="235"/>
      <c r="H34" s="59"/>
      <c r="I34" s="59"/>
      <c r="J34" s="59"/>
      <c r="K34" s="59"/>
      <c r="L34" s="59"/>
      <c r="M34" s="59"/>
      <c r="N34" s="59"/>
      <c r="O34" s="59"/>
      <c r="P34" s="59"/>
      <c r="Q34" s="59"/>
      <c r="R34" s="59"/>
      <c r="S34" s="59"/>
      <c r="T34" s="59"/>
      <c r="U34" s="59"/>
      <c r="V34" s="59"/>
      <c r="W34" s="59"/>
      <c r="X34" s="59"/>
      <c r="Y34" s="59"/>
      <c r="AC34" s="283"/>
      <c r="AD34" s="361">
        <f t="shared" si="0"/>
        <v>0</v>
      </c>
    </row>
    <row r="35" spans="1:30" s="53" customFormat="1" ht="12">
      <c r="A35" s="58"/>
      <c r="B35" s="58"/>
      <c r="D35" s="228"/>
      <c r="E35" s="235"/>
      <c r="H35" s="59"/>
      <c r="I35" s="59"/>
      <c r="J35" s="59"/>
      <c r="K35" s="59"/>
      <c r="L35" s="59"/>
      <c r="M35" s="59"/>
      <c r="N35" s="59"/>
      <c r="O35" s="59"/>
      <c r="P35" s="59"/>
      <c r="Q35" s="59"/>
      <c r="R35" s="59"/>
      <c r="S35" s="59"/>
      <c r="T35" s="59"/>
      <c r="U35" s="59"/>
      <c r="V35" s="59"/>
      <c r="W35" s="59"/>
      <c r="X35" s="59"/>
      <c r="Y35" s="59"/>
      <c r="AC35" s="283"/>
      <c r="AD35" s="361">
        <f t="shared" si="0"/>
        <v>0</v>
      </c>
    </row>
    <row r="36" spans="1:30" s="53" customFormat="1" ht="12">
      <c r="A36" s="58"/>
      <c r="B36" s="58"/>
      <c r="D36" s="228"/>
      <c r="E36" s="235"/>
      <c r="H36" s="59"/>
      <c r="I36" s="59"/>
      <c r="J36" s="59"/>
      <c r="K36" s="59"/>
      <c r="L36" s="59"/>
      <c r="M36" s="59"/>
      <c r="N36" s="59"/>
      <c r="O36" s="59"/>
      <c r="P36" s="59"/>
      <c r="Q36" s="59"/>
      <c r="R36" s="59"/>
      <c r="S36" s="59"/>
      <c r="T36" s="59"/>
      <c r="U36" s="59"/>
      <c r="V36" s="59"/>
      <c r="W36" s="59"/>
      <c r="X36" s="59"/>
      <c r="Y36" s="59"/>
      <c r="AC36" s="283"/>
      <c r="AD36" s="361">
        <f t="shared" si="0"/>
        <v>0</v>
      </c>
    </row>
    <row r="37" spans="1:30" s="53" customFormat="1" ht="12">
      <c r="A37" s="58"/>
      <c r="B37" s="58"/>
      <c r="C37" s="45"/>
      <c r="D37" s="229"/>
      <c r="E37" s="235"/>
      <c r="F37" s="59"/>
      <c r="G37" s="59"/>
      <c r="H37" s="59"/>
      <c r="I37" s="59"/>
      <c r="J37" s="59"/>
      <c r="K37" s="59"/>
      <c r="L37" s="59"/>
      <c r="M37" s="59"/>
      <c r="N37" s="59"/>
      <c r="O37" s="59"/>
      <c r="P37" s="59"/>
      <c r="Q37" s="59"/>
      <c r="R37" s="59"/>
      <c r="S37" s="59"/>
      <c r="T37" s="59"/>
      <c r="U37" s="59"/>
      <c r="V37" s="59"/>
      <c r="W37" s="59"/>
      <c r="X37" s="59"/>
      <c r="Y37" s="59"/>
      <c r="AC37" s="283"/>
      <c r="AD37" s="361">
        <f t="shared" si="0"/>
        <v>0</v>
      </c>
    </row>
    <row r="38" spans="1:30" s="53" customFormat="1" ht="12">
      <c r="A38" s="44" t="s">
        <v>362</v>
      </c>
      <c r="B38" s="44"/>
      <c r="C38" s="45"/>
      <c r="D38" s="229"/>
      <c r="E38" s="236"/>
      <c r="F38" s="45"/>
      <c r="G38" s="59"/>
      <c r="H38" s="59"/>
      <c r="I38" s="59"/>
      <c r="J38" s="59"/>
      <c r="K38" s="59"/>
      <c r="L38" s="59"/>
      <c r="M38" s="59"/>
      <c r="N38" s="59"/>
      <c r="O38" s="59"/>
      <c r="P38" s="59"/>
      <c r="Q38" s="59"/>
      <c r="R38" s="59"/>
      <c r="S38" s="59"/>
      <c r="T38" s="59"/>
      <c r="U38" s="59"/>
      <c r="V38" s="59"/>
      <c r="W38" s="59"/>
      <c r="X38" s="59"/>
      <c r="Y38" s="59"/>
      <c r="AC38" s="283"/>
      <c r="AD38" s="361">
        <f t="shared" si="0"/>
        <v>0</v>
      </c>
    </row>
    <row r="39" spans="1:30" s="53" customFormat="1" ht="12">
      <c r="A39" s="44"/>
      <c r="B39" s="44"/>
      <c r="C39" s="45"/>
      <c r="D39" s="229"/>
      <c r="E39" s="236"/>
      <c r="F39" s="45"/>
      <c r="G39" s="59"/>
      <c r="H39" s="59"/>
      <c r="I39" s="59"/>
      <c r="J39" s="59"/>
      <c r="K39" s="59"/>
      <c r="L39" s="59"/>
      <c r="M39" s="59"/>
      <c r="N39" s="59"/>
      <c r="O39" s="59"/>
      <c r="P39" s="59"/>
      <c r="Q39" s="59"/>
      <c r="R39" s="59"/>
      <c r="S39" s="59"/>
      <c r="T39" s="59"/>
      <c r="U39" s="59"/>
      <c r="V39" s="59"/>
      <c r="W39" s="59"/>
      <c r="X39" s="59"/>
      <c r="Y39" s="59"/>
      <c r="AC39" s="283"/>
      <c r="AD39" s="361">
        <f t="shared" si="0"/>
        <v>0</v>
      </c>
    </row>
    <row r="40" spans="1:30" s="53" customFormat="1" ht="12">
      <c r="A40" s="44"/>
      <c r="B40" s="5" t="s">
        <v>367</v>
      </c>
      <c r="C40" s="45"/>
      <c r="D40" s="229"/>
      <c r="E40" s="236"/>
      <c r="F40" s="45"/>
      <c r="G40" s="59"/>
      <c r="H40" s="59"/>
      <c r="I40" s="59"/>
      <c r="J40" s="59"/>
      <c r="K40" s="59"/>
      <c r="L40" s="59"/>
      <c r="M40" s="59"/>
      <c r="N40" s="59"/>
      <c r="O40" s="59"/>
      <c r="P40" s="59"/>
      <c r="Q40" s="59"/>
      <c r="R40" s="59"/>
      <c r="S40" s="59"/>
      <c r="T40" s="59"/>
      <c r="U40" s="59"/>
      <c r="V40" s="59"/>
      <c r="W40" s="59"/>
      <c r="X40" s="59"/>
      <c r="Y40" s="59"/>
      <c r="AC40" s="283"/>
      <c r="AD40" s="361">
        <f t="shared" si="0"/>
        <v>0</v>
      </c>
    </row>
    <row r="41" spans="1:30" s="53" customFormat="1" ht="12">
      <c r="A41" s="44"/>
      <c r="B41" s="270" t="s">
        <v>463</v>
      </c>
      <c r="C41" s="70" t="s">
        <v>366</v>
      </c>
      <c r="D41" s="229"/>
      <c r="E41" s="236"/>
      <c r="F41" s="45"/>
      <c r="G41" s="59"/>
      <c r="H41" s="59"/>
      <c r="I41" s="59"/>
      <c r="J41" s="59"/>
      <c r="K41" s="59"/>
      <c r="L41" s="59"/>
      <c r="M41" s="59"/>
      <c r="N41" s="59"/>
      <c r="O41" s="59"/>
      <c r="P41" s="59"/>
      <c r="Q41" s="59"/>
      <c r="R41" s="59"/>
      <c r="S41" s="59"/>
      <c r="T41" s="59"/>
      <c r="U41" s="59"/>
      <c r="V41" s="59"/>
      <c r="W41" s="59"/>
      <c r="X41" s="59"/>
      <c r="Y41" s="59"/>
      <c r="AC41" s="283"/>
      <c r="AD41" s="361">
        <f t="shared" si="0"/>
        <v>0</v>
      </c>
    </row>
    <row r="42" spans="1:30" s="53" customFormat="1" ht="12">
      <c r="A42" s="44"/>
      <c r="C42" s="63" t="s">
        <v>131</v>
      </c>
      <c r="D42" s="229"/>
      <c r="E42" s="236"/>
      <c r="F42" s="45"/>
      <c r="G42" s="59"/>
      <c r="H42" s="59"/>
      <c r="I42" s="59"/>
      <c r="J42" s="59"/>
      <c r="K42" s="59"/>
      <c r="L42" s="59"/>
      <c r="M42" s="59"/>
      <c r="N42" s="59"/>
      <c r="O42" s="59"/>
      <c r="P42" s="59"/>
      <c r="Q42" s="59"/>
      <c r="R42" s="59"/>
      <c r="S42" s="59"/>
      <c r="T42" s="59"/>
      <c r="U42" s="59"/>
      <c r="V42" s="59"/>
      <c r="W42" s="59"/>
      <c r="X42" s="59"/>
      <c r="Y42" s="59"/>
      <c r="AC42" s="283"/>
      <c r="AD42" s="361">
        <f t="shared" si="0"/>
        <v>0</v>
      </c>
    </row>
    <row r="43" spans="1:30" s="53" customFormat="1" ht="12">
      <c r="A43" s="44"/>
      <c r="C43" s="245" t="s">
        <v>428</v>
      </c>
      <c r="D43" s="267">
        <f>30/3600</f>
        <v>8.3333333333333332E-3</v>
      </c>
      <c r="E43" s="236"/>
      <c r="F43" s="45"/>
      <c r="G43" s="59"/>
      <c r="H43" s="59"/>
      <c r="I43" s="59"/>
      <c r="J43" s="59"/>
      <c r="K43" s="59"/>
      <c r="L43" s="59"/>
      <c r="M43" s="59"/>
      <c r="N43" s="59"/>
      <c r="O43" s="59"/>
      <c r="P43" s="59"/>
      <c r="Q43" s="59"/>
      <c r="R43" s="59"/>
      <c r="S43" s="59"/>
      <c r="T43" s="59"/>
      <c r="U43" s="59"/>
      <c r="V43" s="59"/>
      <c r="W43" s="59"/>
      <c r="X43" s="59"/>
      <c r="Y43" s="59"/>
      <c r="AC43" s="283"/>
      <c r="AD43" s="361">
        <f t="shared" si="0"/>
        <v>0</v>
      </c>
    </row>
    <row r="44" spans="1:30" s="53" customFormat="1" ht="12">
      <c r="A44" s="44"/>
      <c r="C44" s="243" t="s">
        <v>419</v>
      </c>
      <c r="D44" s="273">
        <v>26.21</v>
      </c>
      <c r="E44" s="236"/>
      <c r="F44" s="45"/>
      <c r="G44" s="59"/>
      <c r="H44" s="59"/>
      <c r="I44" s="59"/>
      <c r="J44" s="59"/>
      <c r="K44" s="59"/>
      <c r="L44" s="59"/>
      <c r="M44" s="59"/>
      <c r="N44" s="59"/>
      <c r="O44" s="59"/>
      <c r="P44" s="59"/>
      <c r="Q44" s="59"/>
      <c r="R44" s="59"/>
      <c r="S44" s="59"/>
      <c r="T44" s="59"/>
      <c r="U44" s="59"/>
      <c r="V44" s="59"/>
      <c r="W44" s="59"/>
      <c r="X44" s="59"/>
      <c r="Y44" s="59"/>
      <c r="AC44" s="283"/>
      <c r="AD44" s="361">
        <f t="shared" si="0"/>
        <v>0</v>
      </c>
    </row>
    <row r="45" spans="1:30" s="53" customFormat="1" ht="12">
      <c r="A45" s="44"/>
      <c r="C45" s="62" t="s">
        <v>429</v>
      </c>
      <c r="D45" s="273"/>
      <c r="E45" s="236"/>
      <c r="F45" s="305">
        <v>0</v>
      </c>
      <c r="G45" s="338">
        <f>$D$44*$D$43*G10</f>
        <v>0</v>
      </c>
      <c r="H45" s="338">
        <f t="shared" ref="H45:I45" si="1">$D$44*$D$43*H10</f>
        <v>120989.88483330162</v>
      </c>
      <c r="I45" s="338">
        <f t="shared" si="1"/>
        <v>123998.99455757577</v>
      </c>
      <c r="J45" s="338">
        <f>$D$44*$D$43*J10</f>
        <v>127008.10428184991</v>
      </c>
      <c r="K45" s="338">
        <f t="shared" ref="J45:AC45" si="2">$D$44*$D$43*K10</f>
        <v>130017.21400612409</v>
      </c>
      <c r="L45" s="338">
        <f t="shared" si="2"/>
        <v>133026.3237303982</v>
      </c>
      <c r="M45" s="338">
        <f t="shared" si="2"/>
        <v>136035.43345467237</v>
      </c>
      <c r="N45" s="338">
        <f t="shared" si="2"/>
        <v>139044.54317894654</v>
      </c>
      <c r="O45" s="338">
        <f t="shared" si="2"/>
        <v>140091.23307717065</v>
      </c>
      <c r="P45" s="338">
        <f t="shared" si="2"/>
        <v>141137.92297539476</v>
      </c>
      <c r="Q45" s="338">
        <f t="shared" si="2"/>
        <v>142184.61287361884</v>
      </c>
      <c r="R45" s="338">
        <f t="shared" si="2"/>
        <v>143231.30277184298</v>
      </c>
      <c r="S45" s="338">
        <f t="shared" si="2"/>
        <v>144277.99267006706</v>
      </c>
      <c r="T45" s="338">
        <f t="shared" si="2"/>
        <v>145324.68256829114</v>
      </c>
      <c r="U45" s="338">
        <f t="shared" si="2"/>
        <v>146371.37246651525</v>
      </c>
      <c r="V45" s="338">
        <f t="shared" si="2"/>
        <v>147418.06236473934</v>
      </c>
      <c r="W45" s="338">
        <f t="shared" si="2"/>
        <v>148464.75226296345</v>
      </c>
      <c r="X45" s="338">
        <f t="shared" si="2"/>
        <v>149511.44216118759</v>
      </c>
      <c r="Y45" s="338">
        <f t="shared" si="2"/>
        <v>150558.13205941167</v>
      </c>
      <c r="Z45" s="338">
        <f t="shared" si="2"/>
        <v>151604.82195763575</v>
      </c>
      <c r="AA45" s="338">
        <f t="shared" si="2"/>
        <v>152651.51185585989</v>
      </c>
      <c r="AB45" s="338">
        <f t="shared" si="2"/>
        <v>153698.201754084</v>
      </c>
      <c r="AC45" s="339">
        <f t="shared" si="2"/>
        <v>154744.89165230811</v>
      </c>
      <c r="AD45" s="367">
        <f t="shared" si="0"/>
        <v>3121391.4335139585</v>
      </c>
    </row>
    <row r="46" spans="1:30" s="53" customFormat="1" ht="12">
      <c r="A46" s="44"/>
      <c r="B46" s="44"/>
      <c r="D46" s="273"/>
      <c r="E46" s="236"/>
      <c r="G46" s="59"/>
      <c r="H46" s="59"/>
      <c r="I46" s="59"/>
      <c r="J46" s="59"/>
      <c r="K46" s="59"/>
      <c r="L46" s="59"/>
      <c r="M46" s="59"/>
      <c r="N46" s="59"/>
      <c r="O46" s="59"/>
      <c r="P46" s="59"/>
      <c r="Q46" s="59"/>
      <c r="R46" s="59"/>
      <c r="S46" s="59"/>
      <c r="T46" s="59"/>
      <c r="U46" s="59"/>
      <c r="V46" s="59"/>
      <c r="W46" s="59"/>
      <c r="X46" s="59"/>
      <c r="Y46" s="59"/>
      <c r="AC46" s="283"/>
      <c r="AD46" s="361">
        <f t="shared" si="0"/>
        <v>0</v>
      </c>
    </row>
    <row r="47" spans="1:30" s="53" customFormat="1" ht="12">
      <c r="A47" s="44"/>
      <c r="B47" s="270" t="s">
        <v>462</v>
      </c>
      <c r="C47" s="54" t="s">
        <v>425</v>
      </c>
      <c r="D47" s="273"/>
      <c r="E47" s="236"/>
      <c r="F47" s="45">
        <f>F11</f>
        <v>0</v>
      </c>
      <c r="G47" s="45">
        <f t="shared" ref="G47:AC47" si="3">G11</f>
        <v>0</v>
      </c>
      <c r="H47" s="45">
        <f t="shared" si="3"/>
        <v>16618.221495608006</v>
      </c>
      <c r="I47" s="104">
        <f t="shared" si="3"/>
        <v>17031.529202871909</v>
      </c>
      <c r="J47" s="104">
        <f t="shared" si="3"/>
        <v>17444.836910135811</v>
      </c>
      <c r="K47" s="104">
        <f t="shared" si="3"/>
        <v>17858.144617399721</v>
      </c>
      <c r="L47" s="104">
        <f t="shared" si="3"/>
        <v>18271.45232466362</v>
      </c>
      <c r="M47" s="104">
        <f t="shared" si="3"/>
        <v>18684.76003192753</v>
      </c>
      <c r="N47" s="104">
        <f t="shared" si="3"/>
        <v>19098.067739191432</v>
      </c>
      <c r="O47" s="104">
        <f t="shared" si="3"/>
        <v>19241.832853026106</v>
      </c>
      <c r="P47" s="104">
        <f t="shared" si="3"/>
        <v>19385.597966860783</v>
      </c>
      <c r="Q47" s="104">
        <f t="shared" si="3"/>
        <v>19529.36308069545</v>
      </c>
      <c r="R47" s="104">
        <f t="shared" si="3"/>
        <v>19673.128194530127</v>
      </c>
      <c r="S47" s="104">
        <f t="shared" si="3"/>
        <v>19816.893308364801</v>
      </c>
      <c r="T47" s="104">
        <f t="shared" si="3"/>
        <v>19960.658422199471</v>
      </c>
      <c r="U47" s="104">
        <f t="shared" si="3"/>
        <v>20104.423536034141</v>
      </c>
      <c r="V47" s="104">
        <f t="shared" si="3"/>
        <v>20248.188649868815</v>
      </c>
      <c r="W47" s="104">
        <f t="shared" si="3"/>
        <v>20391.953763703485</v>
      </c>
      <c r="X47" s="104">
        <f t="shared" si="3"/>
        <v>20535.718877538162</v>
      </c>
      <c r="Y47" s="104">
        <f t="shared" si="3"/>
        <v>20679.483991372832</v>
      </c>
      <c r="Z47" s="104">
        <f t="shared" si="3"/>
        <v>20823.249105207506</v>
      </c>
      <c r="AA47" s="104">
        <f t="shared" si="3"/>
        <v>20967.014219042179</v>
      </c>
      <c r="AB47" s="104">
        <f t="shared" si="3"/>
        <v>21110.779332876853</v>
      </c>
      <c r="AC47" s="287">
        <f t="shared" si="3"/>
        <v>21254.54444671153</v>
      </c>
      <c r="AD47" s="366">
        <f t="shared" si="0"/>
        <v>428729.84206983028</v>
      </c>
    </row>
    <row r="48" spans="1:30" s="53" customFormat="1" ht="12">
      <c r="A48" s="44"/>
      <c r="B48" s="70"/>
      <c r="C48" s="63" t="s">
        <v>131</v>
      </c>
      <c r="D48" s="273"/>
      <c r="E48" s="236"/>
      <c r="F48" s="45"/>
      <c r="G48" s="45"/>
      <c r="H48" s="45"/>
      <c r="I48" s="45"/>
      <c r="J48" s="45"/>
      <c r="K48" s="45"/>
      <c r="L48" s="45"/>
      <c r="M48" s="45"/>
      <c r="N48" s="45"/>
      <c r="O48" s="45"/>
      <c r="P48" s="45"/>
      <c r="Q48" s="45"/>
      <c r="R48" s="45"/>
      <c r="S48" s="45"/>
      <c r="T48" s="45"/>
      <c r="U48" s="45"/>
      <c r="V48" s="45"/>
      <c r="W48" s="45"/>
      <c r="X48" s="45"/>
      <c r="Y48" s="45"/>
      <c r="Z48" s="45"/>
      <c r="AA48" s="45"/>
      <c r="AB48" s="45"/>
      <c r="AC48" s="283"/>
      <c r="AD48" s="361">
        <f t="shared" si="0"/>
        <v>0</v>
      </c>
    </row>
    <row r="49" spans="1:30" s="53" customFormat="1" ht="12">
      <c r="A49" s="44"/>
      <c r="B49" s="70"/>
      <c r="C49" s="243" t="s">
        <v>403</v>
      </c>
      <c r="D49" s="273"/>
      <c r="E49" s="236"/>
      <c r="F49" s="318">
        <f>'Mode Operating Assumptions'!D29</f>
        <v>0.39100279786137265</v>
      </c>
      <c r="G49" s="318">
        <f>'Mode Operating Assumptions'!E29</f>
        <v>0.39205714599476826</v>
      </c>
      <c r="H49" s="318">
        <f>'Mode Operating Assumptions'!F29</f>
        <v>0.39311874523828177</v>
      </c>
      <c r="I49" s="318">
        <f>'Mode Operating Assumptions'!G29</f>
        <v>0.39418767065254157</v>
      </c>
      <c r="J49" s="318">
        <f>'Mode Operating Assumptions'!H29</f>
        <v>0.39526399833776032</v>
      </c>
      <c r="K49" s="318">
        <f>'Mode Operating Assumptions'!I29</f>
        <v>0.39634780545179538</v>
      </c>
      <c r="L49" s="318">
        <f>'Mode Operating Assumptions'!J29</f>
        <v>0.39743917022858699</v>
      </c>
      <c r="M49" s="318">
        <f>'Mode Operating Assumptions'!K29</f>
        <v>0.39853817199698321</v>
      </c>
      <c r="N49" s="318">
        <f>'Mode Operating Assumptions'!L29</f>
        <v>0.39964489119996166</v>
      </c>
      <c r="O49" s="318">
        <f>'Mode Operating Assumptions'!M29</f>
        <v>0.40075940941425758</v>
      </c>
      <c r="P49" s="318">
        <f>'Mode Operating Assumptions'!N29</f>
        <v>0.40188180937040846</v>
      </c>
      <c r="Q49" s="318">
        <f>'Mode Operating Assumptions'!O29</f>
        <v>0.40301217497322528</v>
      </c>
      <c r="R49" s="318">
        <f>'Mode Operating Assumptions'!P29</f>
        <v>0.40415059132270104</v>
      </c>
      <c r="S49" s="318">
        <f>'Mode Operating Assumptions'!Q29</f>
        <v>0.40529714473536788</v>
      </c>
      <c r="T49" s="318">
        <f>'Mode Operating Assumptions'!R29</f>
        <v>0.40645192276611369</v>
      </c>
      <c r="U49" s="318">
        <f>'Mode Operating Assumptions'!S29</f>
        <v>0.40761501423047014</v>
      </c>
      <c r="V49" s="318">
        <f>'Mode Operating Assumptions'!T29</f>
        <v>0.40878650922738302</v>
      </c>
      <c r="W49" s="318">
        <f>'Mode Operating Assumptions'!U29</f>
        <v>0.40996649916247907</v>
      </c>
      <c r="X49" s="318">
        <f>'Mode Operating Assumptions'!V29</f>
        <v>0.41115507677183999</v>
      </c>
      <c r="Y49" s="318">
        <f>'Mode Operating Assumptions'!W29</f>
        <v>0.41235233614629774</v>
      </c>
      <c r="Z49" s="318">
        <f>'Mode Operating Assumptions'!X29</f>
        <v>0.41355837275626389</v>
      </c>
      <c r="AA49" s="318">
        <f>'Mode Operating Assumptions'!Y29</f>
        <v>0.41477328347710757</v>
      </c>
      <c r="AB49" s="318">
        <f>'Mode Operating Assumptions'!Z29</f>
        <v>0.415997166615095</v>
      </c>
      <c r="AC49" s="321">
        <f>'Mode Operating Assumptions'!AA29</f>
        <v>0.41723012193390652</v>
      </c>
      <c r="AD49" s="368">
        <f t="shared" si="0"/>
        <v>9.6905878298649686</v>
      </c>
    </row>
    <row r="50" spans="1:30" s="53" customFormat="1" ht="12">
      <c r="A50" s="44"/>
      <c r="B50" s="70"/>
      <c r="C50" s="243" t="s">
        <v>420</v>
      </c>
      <c r="D50" s="273">
        <f>'Mode Operating Assumptions'!C152</f>
        <v>0.38127571701364549</v>
      </c>
      <c r="E50" s="236"/>
      <c r="F50" s="45"/>
      <c r="G50" s="45"/>
      <c r="H50" s="45"/>
      <c r="I50" s="45"/>
      <c r="J50" s="45"/>
      <c r="K50" s="45"/>
      <c r="L50" s="45"/>
      <c r="M50" s="45"/>
      <c r="N50" s="45"/>
      <c r="O50" s="45"/>
      <c r="P50" s="45"/>
      <c r="Q50" s="45"/>
      <c r="R50" s="45"/>
      <c r="S50" s="45"/>
      <c r="T50" s="45"/>
      <c r="U50" s="45"/>
      <c r="V50" s="45"/>
      <c r="W50" s="45"/>
      <c r="X50" s="45"/>
      <c r="Y50" s="45"/>
      <c r="Z50" s="45"/>
      <c r="AA50" s="45"/>
      <c r="AB50" s="45"/>
      <c r="AC50" s="283"/>
      <c r="AD50" s="361">
        <f t="shared" si="0"/>
        <v>0</v>
      </c>
    </row>
    <row r="51" spans="1:30" s="53" customFormat="1" ht="12">
      <c r="A51" s="44"/>
      <c r="B51" s="70"/>
      <c r="C51" s="243" t="s">
        <v>421</v>
      </c>
      <c r="D51" s="273">
        <f>'Mode Operating Assumptions'!C52</f>
        <v>0.234375</v>
      </c>
      <c r="E51" s="236"/>
      <c r="F51" s="45"/>
      <c r="G51" s="45"/>
      <c r="H51" s="45"/>
      <c r="I51" s="45"/>
      <c r="J51" s="45"/>
      <c r="K51" s="45"/>
      <c r="L51" s="45"/>
      <c r="M51" s="45"/>
      <c r="N51" s="45"/>
      <c r="O51" s="45"/>
      <c r="P51" s="45"/>
      <c r="Q51" s="45"/>
      <c r="R51" s="45"/>
      <c r="S51" s="45"/>
      <c r="T51" s="45"/>
      <c r="U51" s="45"/>
      <c r="V51" s="45"/>
      <c r="W51" s="45"/>
      <c r="X51" s="45"/>
      <c r="Y51" s="45"/>
      <c r="Z51" s="45"/>
      <c r="AA51" s="45"/>
      <c r="AB51" s="45"/>
      <c r="AC51" s="283"/>
      <c r="AD51" s="361">
        <f t="shared" si="0"/>
        <v>0</v>
      </c>
    </row>
    <row r="52" spans="1:30" s="53" customFormat="1" ht="12">
      <c r="A52" s="44"/>
      <c r="C52" s="243" t="s">
        <v>400</v>
      </c>
      <c r="D52" s="273">
        <v>13.91</v>
      </c>
      <c r="E52" s="236"/>
      <c r="F52" s="45"/>
      <c r="G52" s="45"/>
      <c r="H52" s="45"/>
      <c r="I52" s="45"/>
      <c r="J52" s="45"/>
      <c r="K52" s="45"/>
      <c r="L52" s="45"/>
      <c r="M52" s="45"/>
      <c r="N52" s="45"/>
      <c r="O52" s="45"/>
      <c r="P52" s="45"/>
      <c r="Q52" s="45"/>
      <c r="R52" s="45"/>
      <c r="S52" s="45"/>
      <c r="T52" s="45"/>
      <c r="U52" s="45"/>
      <c r="V52" s="45"/>
      <c r="W52" s="45"/>
      <c r="X52" s="45"/>
      <c r="Y52" s="45"/>
      <c r="Z52" s="45"/>
      <c r="AA52" s="45"/>
      <c r="AB52" s="45"/>
      <c r="AC52" s="283"/>
      <c r="AD52" s="361">
        <f t="shared" si="0"/>
        <v>0</v>
      </c>
    </row>
    <row r="53" spans="1:30" s="53" customFormat="1" ht="12">
      <c r="A53" s="44"/>
      <c r="B53" s="70"/>
      <c r="C53" s="243" t="s">
        <v>401</v>
      </c>
      <c r="D53" s="273">
        <v>13.91</v>
      </c>
      <c r="E53" s="236"/>
      <c r="F53" s="45"/>
      <c r="G53" s="45"/>
      <c r="H53" s="45"/>
      <c r="I53" s="45"/>
      <c r="J53" s="45"/>
      <c r="K53" s="45"/>
      <c r="L53" s="45"/>
      <c r="M53" s="45"/>
      <c r="N53" s="45"/>
      <c r="O53" s="45"/>
      <c r="P53" s="45"/>
      <c r="Q53" s="45"/>
      <c r="R53" s="45"/>
      <c r="S53" s="45"/>
      <c r="T53" s="45"/>
      <c r="U53" s="45"/>
      <c r="V53" s="45"/>
      <c r="W53" s="45"/>
      <c r="X53" s="45"/>
      <c r="Y53" s="45"/>
      <c r="Z53" s="45"/>
      <c r="AA53" s="45"/>
      <c r="AB53" s="45"/>
      <c r="AC53" s="283"/>
      <c r="AD53" s="361">
        <f t="shared" si="0"/>
        <v>0</v>
      </c>
    </row>
    <row r="54" spans="1:30" s="53" customFormat="1" ht="12">
      <c r="A54" s="44"/>
      <c r="B54" s="70"/>
      <c r="C54" s="243" t="s">
        <v>419</v>
      </c>
      <c r="D54" s="273">
        <f>D44</f>
        <v>26.21</v>
      </c>
      <c r="E54" s="236"/>
      <c r="F54" s="45"/>
      <c r="G54" s="45"/>
      <c r="H54" s="45"/>
      <c r="I54" s="45"/>
      <c r="J54" s="45"/>
      <c r="K54" s="45"/>
      <c r="L54" s="45"/>
      <c r="M54" s="45"/>
      <c r="N54" s="45"/>
      <c r="O54" s="45"/>
      <c r="P54" s="45"/>
      <c r="Q54" s="45"/>
      <c r="R54" s="45"/>
      <c r="S54" s="45"/>
      <c r="T54" s="45"/>
      <c r="U54" s="45"/>
      <c r="V54" s="45"/>
      <c r="W54" s="45"/>
      <c r="X54" s="45"/>
      <c r="Y54" s="45"/>
      <c r="Z54" s="45"/>
      <c r="AA54" s="45"/>
      <c r="AB54" s="45"/>
      <c r="AC54" s="283"/>
      <c r="AD54" s="361">
        <f t="shared" si="0"/>
        <v>0</v>
      </c>
    </row>
    <row r="55" spans="1:30" s="53" customFormat="1" ht="12">
      <c r="A55" s="44"/>
      <c r="B55" s="70"/>
      <c r="C55" s="78" t="s">
        <v>416</v>
      </c>
      <c r="D55" s="273"/>
      <c r="E55" s="236"/>
      <c r="F55" s="275">
        <f>+(F49*$D$52)-($D$50*$D$53)-($D$51*$D$54)</f>
        <v>-6.0076650554081157</v>
      </c>
      <c r="G55" s="275">
        <f>+(G49*$D$52)-($D$50*$D$53)-($D$51*$D$54)</f>
        <v>-5.9929990728725828</v>
      </c>
      <c r="H55" s="275">
        <f t="shared" ref="H55:AC55" si="4">+(H49*$D$52)-($D$50*$D$53)-($D$51*$D$54)</f>
        <v>-5.9782322273953099</v>
      </c>
      <c r="I55" s="275">
        <f t="shared" si="4"/>
        <v>-5.9633634748829563</v>
      </c>
      <c r="J55" s="275">
        <f t="shared" si="4"/>
        <v>-5.9483917567815627</v>
      </c>
      <c r="K55" s="275">
        <f t="shared" si="4"/>
        <v>-5.9333159998253358</v>
      </c>
      <c r="L55" s="275">
        <f t="shared" si="4"/>
        <v>-5.9181351157801645</v>
      </c>
      <c r="M55" s="275">
        <f t="shared" si="4"/>
        <v>-5.9028480011817726</v>
      </c>
      <c r="N55" s="275">
        <f t="shared" si="4"/>
        <v>-5.8874535370683425</v>
      </c>
      <c r="O55" s="275">
        <f t="shared" si="4"/>
        <v>-5.8719505887074863</v>
      </c>
      <c r="P55" s="275">
        <f t="shared" si="4"/>
        <v>-5.8563380053174274</v>
      </c>
      <c r="Q55" s="275">
        <f t="shared" si="4"/>
        <v>-5.8406146197822455</v>
      </c>
      <c r="R55" s="275">
        <f t="shared" si="4"/>
        <v>-5.8247792483610379</v>
      </c>
      <c r="S55" s="275">
        <f t="shared" si="4"/>
        <v>-5.8088306903908418</v>
      </c>
      <c r="T55" s="275">
        <f t="shared" si="4"/>
        <v>-5.7927677279831675</v>
      </c>
      <c r="U55" s="275">
        <f t="shared" si="4"/>
        <v>-5.7765891257139694</v>
      </c>
      <c r="V55" s="275">
        <f t="shared" si="4"/>
        <v>-5.7602936303069114</v>
      </c>
      <c r="W55" s="275">
        <f t="shared" si="4"/>
        <v>-5.7438799703097256</v>
      </c>
      <c r="X55" s="275">
        <f t="shared" si="4"/>
        <v>-5.727346855763515</v>
      </c>
      <c r="Y55" s="275">
        <f t="shared" si="4"/>
        <v>-5.7106929778648077</v>
      </c>
      <c r="Z55" s="275">
        <f t="shared" si="4"/>
        <v>-5.6939170086201782</v>
      </c>
      <c r="AA55" s="275">
        <f t="shared" si="4"/>
        <v>-5.6770176004932429</v>
      </c>
      <c r="AB55" s="275">
        <f t="shared" si="4"/>
        <v>-5.6599933860438378</v>
      </c>
      <c r="AC55" s="288">
        <f t="shared" si="4"/>
        <v>-5.6428429775591695</v>
      </c>
      <c r="AD55" s="369">
        <f t="shared" si="0"/>
        <v>-139.92025865441371</v>
      </c>
    </row>
    <row r="56" spans="1:30" s="53" customFormat="1" ht="12">
      <c r="A56" s="44"/>
      <c r="B56" s="70"/>
      <c r="D56" s="273"/>
      <c r="E56" s="236"/>
      <c r="F56" s="275">
        <f>F55*F47</f>
        <v>0</v>
      </c>
      <c r="G56" s="275">
        <f t="shared" ref="G56:AC56" si="5">G55*G47</f>
        <v>0</v>
      </c>
      <c r="H56" s="275">
        <f t="shared" si="5"/>
        <v>-99347.587307037262</v>
      </c>
      <c r="I56" s="275">
        <f t="shared" si="5"/>
        <v>-101565.19916980877</v>
      </c>
      <c r="J56" s="275">
        <f t="shared" si="5"/>
        <v>-103768.7240746506</v>
      </c>
      <c r="K56" s="275">
        <f t="shared" si="5"/>
        <v>-105958.01518561246</v>
      </c>
      <c r="L56" s="275">
        <f t="shared" si="5"/>
        <v>-108132.92361889489</v>
      </c>
      <c r="M56" s="275">
        <f t="shared" si="5"/>
        <v>-110293.29840702449</v>
      </c>
      <c r="N56" s="275">
        <f t="shared" si="5"/>
        <v>-112438.9864622734</v>
      </c>
      <c r="O56" s="275">
        <f t="shared" si="5"/>
        <v>-112987.09174913769</v>
      </c>
      <c r="P56" s="275">
        <f t="shared" si="5"/>
        <v>-113528.61412913106</v>
      </c>
      <c r="Q56" s="275">
        <f t="shared" si="5"/>
        <v>-114063.48352414547</v>
      </c>
      <c r="R56" s="275">
        <f t="shared" si="5"/>
        <v>-114591.62885784554</v>
      </c>
      <c r="S56" s="275">
        <f t="shared" si="5"/>
        <v>-115112.97803783035</v>
      </c>
      <c r="T56" s="275">
        <f t="shared" si="5"/>
        <v>-115627.4579374125</v>
      </c>
      <c r="U56" s="275">
        <f t="shared" si="5"/>
        <v>-116134.9943770028</v>
      </c>
      <c r="V56" s="275">
        <f t="shared" si="5"/>
        <v>-116635.51210509203</v>
      </c>
      <c r="W56" s="275">
        <f t="shared" si="5"/>
        <v>-117128.93477881847</v>
      </c>
      <c r="X56" s="275">
        <f t="shared" si="5"/>
        <v>-117615.18494411165</v>
      </c>
      <c r="Y56" s="275">
        <f t="shared" si="5"/>
        <v>-118094.18401540053</v>
      </c>
      <c r="Z56" s="275">
        <f t="shared" si="5"/>
        <v>-118565.85225487592</v>
      </c>
      <c r="AA56" s="275">
        <f t="shared" si="5"/>
        <v>-119030.10875129454</v>
      </c>
      <c r="AB56" s="275">
        <f t="shared" si="5"/>
        <v>-119486.87139831393</v>
      </c>
      <c r="AC56" s="288">
        <f t="shared" si="5"/>
        <v>-119936.05687234541</v>
      </c>
      <c r="AD56" s="369">
        <f t="shared" ref="AD56:AD92" si="6">SUM(F56:AC56)</f>
        <v>-2490043.6879580598</v>
      </c>
    </row>
    <row r="57" spans="1:30" s="53" customFormat="1" ht="12">
      <c r="A57" s="44"/>
      <c r="B57" s="70"/>
      <c r="C57" s="62" t="s">
        <v>429</v>
      </c>
      <c r="D57" s="229"/>
      <c r="E57" s="236"/>
      <c r="F57" s="309">
        <f>F56</f>
        <v>0</v>
      </c>
      <c r="G57" s="309">
        <f t="shared" ref="G57:AC57" si="7">G56</f>
        <v>0</v>
      </c>
      <c r="H57" s="309">
        <f t="shared" si="7"/>
        <v>-99347.587307037262</v>
      </c>
      <c r="I57" s="309">
        <f t="shared" si="7"/>
        <v>-101565.19916980877</v>
      </c>
      <c r="J57" s="309">
        <f t="shared" si="7"/>
        <v>-103768.7240746506</v>
      </c>
      <c r="K57" s="309">
        <f t="shared" si="7"/>
        <v>-105958.01518561246</v>
      </c>
      <c r="L57" s="309">
        <f t="shared" si="7"/>
        <v>-108132.92361889489</v>
      </c>
      <c r="M57" s="309">
        <f t="shared" si="7"/>
        <v>-110293.29840702449</v>
      </c>
      <c r="N57" s="309">
        <f t="shared" si="7"/>
        <v>-112438.9864622734</v>
      </c>
      <c r="O57" s="309">
        <f t="shared" si="7"/>
        <v>-112987.09174913769</v>
      </c>
      <c r="P57" s="309">
        <f t="shared" si="7"/>
        <v>-113528.61412913106</v>
      </c>
      <c r="Q57" s="309">
        <f t="shared" si="7"/>
        <v>-114063.48352414547</v>
      </c>
      <c r="R57" s="309">
        <f t="shared" si="7"/>
        <v>-114591.62885784554</v>
      </c>
      <c r="S57" s="309">
        <f t="shared" si="7"/>
        <v>-115112.97803783035</v>
      </c>
      <c r="T57" s="309">
        <f t="shared" si="7"/>
        <v>-115627.4579374125</v>
      </c>
      <c r="U57" s="309">
        <f t="shared" si="7"/>
        <v>-116134.9943770028</v>
      </c>
      <c r="V57" s="309">
        <f t="shared" si="7"/>
        <v>-116635.51210509203</v>
      </c>
      <c r="W57" s="309">
        <f t="shared" si="7"/>
        <v>-117128.93477881847</v>
      </c>
      <c r="X57" s="309">
        <f t="shared" si="7"/>
        <v>-117615.18494411165</v>
      </c>
      <c r="Y57" s="309">
        <f t="shared" si="7"/>
        <v>-118094.18401540053</v>
      </c>
      <c r="Z57" s="309">
        <f t="shared" si="7"/>
        <v>-118565.85225487592</v>
      </c>
      <c r="AA57" s="309">
        <f t="shared" si="7"/>
        <v>-119030.10875129454</v>
      </c>
      <c r="AB57" s="309">
        <f t="shared" si="7"/>
        <v>-119486.87139831393</v>
      </c>
      <c r="AC57" s="340">
        <f t="shared" si="7"/>
        <v>-119936.05687234541</v>
      </c>
      <c r="AD57" s="370">
        <f t="shared" si="6"/>
        <v>-2490043.6879580598</v>
      </c>
    </row>
    <row r="58" spans="1:30" s="53" customFormat="1" ht="12">
      <c r="A58" s="44"/>
      <c r="B58" s="70"/>
      <c r="D58" s="229"/>
      <c r="E58" s="236"/>
      <c r="F58" s="252"/>
      <c r="G58" s="252"/>
      <c r="H58" s="252"/>
      <c r="I58" s="252"/>
      <c r="J58" s="252"/>
      <c r="K58" s="252"/>
      <c r="L58" s="252"/>
      <c r="M58" s="252"/>
      <c r="N58" s="252"/>
      <c r="O58" s="252"/>
      <c r="P58" s="252"/>
      <c r="Q58" s="252"/>
      <c r="R58" s="252"/>
      <c r="S58" s="252"/>
      <c r="T58" s="252"/>
      <c r="U58" s="252"/>
      <c r="V58" s="252"/>
      <c r="W58" s="252"/>
      <c r="X58" s="252"/>
      <c r="Y58" s="252"/>
      <c r="Z58" s="252"/>
      <c r="AA58" s="252"/>
      <c r="AB58" s="252"/>
      <c r="AC58" s="286"/>
      <c r="AD58" s="371">
        <f t="shared" si="6"/>
        <v>0</v>
      </c>
    </row>
    <row r="59" spans="1:30" s="53" customFormat="1" ht="12">
      <c r="A59" s="44"/>
      <c r="B59" s="70"/>
      <c r="C59" s="63" t="s">
        <v>149</v>
      </c>
      <c r="D59" s="229"/>
      <c r="E59" s="236"/>
      <c r="F59" s="252"/>
      <c r="G59" s="252"/>
      <c r="H59" s="252"/>
      <c r="I59" s="252"/>
      <c r="J59" s="252"/>
      <c r="K59" s="252"/>
      <c r="L59" s="252"/>
      <c r="M59" s="252"/>
      <c r="N59" s="252"/>
      <c r="O59" s="252"/>
      <c r="P59" s="252"/>
      <c r="Q59" s="252"/>
      <c r="R59" s="252"/>
      <c r="S59" s="252"/>
      <c r="T59" s="252"/>
      <c r="U59" s="252"/>
      <c r="V59" s="252"/>
      <c r="W59" s="252"/>
      <c r="X59" s="252"/>
      <c r="Y59" s="252"/>
      <c r="Z59" s="252"/>
      <c r="AA59" s="252"/>
      <c r="AB59" s="252"/>
      <c r="AC59" s="286"/>
      <c r="AD59" s="371">
        <f t="shared" si="6"/>
        <v>0</v>
      </c>
    </row>
    <row r="60" spans="1:30" s="53" customFormat="1" ht="12">
      <c r="A60" s="44"/>
      <c r="B60" s="70"/>
      <c r="C60" s="243" t="s">
        <v>488</v>
      </c>
      <c r="D60" s="273">
        <f>'Mode Operating Assumptions'!C33</f>
        <v>8.1905000000000001</v>
      </c>
      <c r="E60" s="236"/>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86"/>
      <c r="AD60" s="371">
        <f t="shared" si="6"/>
        <v>0</v>
      </c>
    </row>
    <row r="61" spans="1:30" s="53" customFormat="1" ht="12">
      <c r="A61" s="44"/>
      <c r="B61" s="70"/>
      <c r="C61" s="244" t="s">
        <v>477</v>
      </c>
      <c r="D61" s="273">
        <f>'Mode Operating Assumptions'!C155</f>
        <v>2.107407271835358</v>
      </c>
      <c r="E61" s="236"/>
      <c r="F61" s="252"/>
      <c r="G61" s="252"/>
      <c r="H61" s="252"/>
      <c r="I61" s="252"/>
      <c r="J61" s="252"/>
      <c r="K61" s="252"/>
      <c r="L61" s="252"/>
      <c r="M61" s="252"/>
      <c r="N61" s="252"/>
      <c r="O61" s="252"/>
      <c r="P61" s="252"/>
      <c r="Q61" s="252"/>
      <c r="R61" s="252"/>
      <c r="S61" s="252"/>
      <c r="T61" s="252"/>
      <c r="U61" s="252"/>
      <c r="V61" s="252"/>
      <c r="W61" s="252"/>
      <c r="X61" s="252"/>
      <c r="Y61" s="252"/>
      <c r="Z61" s="252"/>
      <c r="AA61" s="252"/>
      <c r="AB61" s="252"/>
      <c r="AC61" s="286"/>
      <c r="AD61" s="371">
        <f t="shared" si="6"/>
        <v>0</v>
      </c>
    </row>
    <row r="62" spans="1:30" s="53" customFormat="1" ht="12">
      <c r="A62" s="44"/>
      <c r="B62" s="70"/>
      <c r="C62" s="243" t="s">
        <v>489</v>
      </c>
      <c r="D62" s="273">
        <v>0.05</v>
      </c>
      <c r="E62" s="236"/>
      <c r="F62" s="252"/>
      <c r="G62" s="252"/>
      <c r="H62" s="252"/>
      <c r="I62" s="252"/>
      <c r="J62" s="252"/>
      <c r="K62" s="252"/>
      <c r="L62" s="252"/>
      <c r="M62" s="252"/>
      <c r="N62" s="252"/>
      <c r="O62" s="252"/>
      <c r="P62" s="252"/>
      <c r="Q62" s="252"/>
      <c r="R62" s="252"/>
      <c r="S62" s="252"/>
      <c r="T62" s="252"/>
      <c r="U62" s="252"/>
      <c r="V62" s="252"/>
      <c r="W62" s="252"/>
      <c r="X62" s="252"/>
      <c r="Y62" s="252"/>
      <c r="Z62" s="252"/>
      <c r="AA62" s="252"/>
      <c r="AB62" s="252"/>
      <c r="AC62" s="286"/>
      <c r="AD62" s="371">
        <f t="shared" si="6"/>
        <v>0</v>
      </c>
    </row>
    <row r="63" spans="1:30" s="53" customFormat="1" ht="12">
      <c r="A63" s="44"/>
      <c r="B63" s="70"/>
      <c r="C63" s="78" t="s">
        <v>490</v>
      </c>
      <c r="D63" s="273">
        <f>+D60-D61-D62</f>
        <v>6.0330927281646423</v>
      </c>
      <c r="E63" s="236"/>
      <c r="F63" s="275">
        <f t="shared" ref="F63:AC63" si="8">$D63*F47</f>
        <v>0</v>
      </c>
      <c r="G63" s="275">
        <f t="shared" si="8"/>
        <v>0</v>
      </c>
      <c r="H63" s="275">
        <f t="shared" si="8"/>
        <v>100259.27126018201</v>
      </c>
      <c r="I63" s="275">
        <f t="shared" si="8"/>
        <v>102752.79498337026</v>
      </c>
      <c r="J63" s="275">
        <f t="shared" si="8"/>
        <v>105246.31870655851</v>
      </c>
      <c r="K63" s="275">
        <f t="shared" si="8"/>
        <v>107739.8424297468</v>
      </c>
      <c r="L63" s="275">
        <f t="shared" si="8"/>
        <v>110233.36615293504</v>
      </c>
      <c r="M63" s="275">
        <f t="shared" si="8"/>
        <v>112726.88987612333</v>
      </c>
      <c r="N63" s="275">
        <f t="shared" si="8"/>
        <v>115220.41359931158</v>
      </c>
      <c r="O63" s="275">
        <f t="shared" si="8"/>
        <v>116087.76186215131</v>
      </c>
      <c r="P63" s="275">
        <f t="shared" si="8"/>
        <v>116955.11012499107</v>
      </c>
      <c r="Q63" s="275">
        <f t="shared" si="8"/>
        <v>117822.45838783076</v>
      </c>
      <c r="R63" s="275">
        <f t="shared" si="8"/>
        <v>118689.80665067051</v>
      </c>
      <c r="S63" s="275">
        <f t="shared" si="8"/>
        <v>119557.15491351024</v>
      </c>
      <c r="T63" s="275">
        <f t="shared" si="8"/>
        <v>120424.50317634994</v>
      </c>
      <c r="U63" s="275">
        <f t="shared" si="8"/>
        <v>121291.85143918966</v>
      </c>
      <c r="V63" s="275">
        <f t="shared" si="8"/>
        <v>122159.19970202939</v>
      </c>
      <c r="W63" s="275">
        <f t="shared" si="8"/>
        <v>123026.5479648691</v>
      </c>
      <c r="X63" s="275">
        <f t="shared" si="8"/>
        <v>123893.89622770886</v>
      </c>
      <c r="Y63" s="275">
        <f t="shared" si="8"/>
        <v>124761.24449054856</v>
      </c>
      <c r="Z63" s="275">
        <f t="shared" si="8"/>
        <v>125628.59275338829</v>
      </c>
      <c r="AA63" s="275">
        <f t="shared" si="8"/>
        <v>126495.94101622803</v>
      </c>
      <c r="AB63" s="275">
        <f t="shared" si="8"/>
        <v>127363.28927906776</v>
      </c>
      <c r="AC63" s="288">
        <f t="shared" si="8"/>
        <v>128230.63754190752</v>
      </c>
      <c r="AD63" s="369">
        <f t="shared" si="6"/>
        <v>2586566.8925386681</v>
      </c>
    </row>
    <row r="64" spans="1:30" s="53" customFormat="1" ht="12">
      <c r="A64" s="44"/>
      <c r="B64" s="70"/>
      <c r="C64" s="62" t="s">
        <v>430</v>
      </c>
      <c r="D64" s="229"/>
      <c r="E64" s="236"/>
      <c r="F64" s="309">
        <f>F63</f>
        <v>0</v>
      </c>
      <c r="G64" s="309">
        <f t="shared" ref="G64:AC64" si="9">G63</f>
        <v>0</v>
      </c>
      <c r="H64" s="309">
        <f t="shared" si="9"/>
        <v>100259.27126018201</v>
      </c>
      <c r="I64" s="309">
        <f t="shared" si="9"/>
        <v>102752.79498337026</v>
      </c>
      <c r="J64" s="309">
        <f t="shared" si="9"/>
        <v>105246.31870655851</v>
      </c>
      <c r="K64" s="309">
        <f t="shared" si="9"/>
        <v>107739.8424297468</v>
      </c>
      <c r="L64" s="309">
        <f t="shared" si="9"/>
        <v>110233.36615293504</v>
      </c>
      <c r="M64" s="309">
        <f t="shared" si="9"/>
        <v>112726.88987612333</v>
      </c>
      <c r="N64" s="309">
        <f t="shared" si="9"/>
        <v>115220.41359931158</v>
      </c>
      <c r="O64" s="309">
        <f t="shared" si="9"/>
        <v>116087.76186215131</v>
      </c>
      <c r="P64" s="309">
        <f t="shared" si="9"/>
        <v>116955.11012499107</v>
      </c>
      <c r="Q64" s="309">
        <f t="shared" si="9"/>
        <v>117822.45838783076</v>
      </c>
      <c r="R64" s="309">
        <f t="shared" si="9"/>
        <v>118689.80665067051</v>
      </c>
      <c r="S64" s="309">
        <f t="shared" si="9"/>
        <v>119557.15491351024</v>
      </c>
      <c r="T64" s="309">
        <f t="shared" si="9"/>
        <v>120424.50317634994</v>
      </c>
      <c r="U64" s="309">
        <f t="shared" si="9"/>
        <v>121291.85143918966</v>
      </c>
      <c r="V64" s="309">
        <f t="shared" si="9"/>
        <v>122159.19970202939</v>
      </c>
      <c r="W64" s="309">
        <f t="shared" si="9"/>
        <v>123026.5479648691</v>
      </c>
      <c r="X64" s="309">
        <f t="shared" si="9"/>
        <v>123893.89622770886</v>
      </c>
      <c r="Y64" s="309">
        <f t="shared" si="9"/>
        <v>124761.24449054856</v>
      </c>
      <c r="Z64" s="309">
        <f t="shared" si="9"/>
        <v>125628.59275338829</v>
      </c>
      <c r="AA64" s="309">
        <f t="shared" si="9"/>
        <v>126495.94101622803</v>
      </c>
      <c r="AB64" s="309">
        <f t="shared" si="9"/>
        <v>127363.28927906776</v>
      </c>
      <c r="AC64" s="340">
        <f t="shared" si="9"/>
        <v>128230.63754190752</v>
      </c>
      <c r="AD64" s="370">
        <f t="shared" si="6"/>
        <v>2586566.8925386681</v>
      </c>
    </row>
    <row r="65" spans="1:30" s="53" customFormat="1" ht="12">
      <c r="A65" s="44"/>
      <c r="B65" s="70"/>
      <c r="C65" s="110"/>
      <c r="D65" s="229"/>
      <c r="E65" s="236"/>
      <c r="F65" s="45"/>
      <c r="G65" s="62"/>
      <c r="H65" s="59"/>
      <c r="I65" s="59"/>
      <c r="J65" s="59"/>
      <c r="K65" s="59"/>
      <c r="L65" s="59"/>
      <c r="M65" s="59"/>
      <c r="N65" s="59"/>
      <c r="O65" s="59"/>
      <c r="P65" s="59"/>
      <c r="Q65" s="59"/>
      <c r="R65" s="59"/>
      <c r="S65" s="59"/>
      <c r="T65" s="59"/>
      <c r="U65" s="59"/>
      <c r="V65" s="59"/>
      <c r="W65" s="59"/>
      <c r="X65" s="59"/>
      <c r="Y65" s="59"/>
      <c r="AC65" s="283"/>
      <c r="AD65" s="361">
        <f t="shared" si="6"/>
        <v>0</v>
      </c>
    </row>
    <row r="66" spans="1:30" s="53" customFormat="1" ht="12">
      <c r="A66" s="44"/>
      <c r="B66" s="5" t="s">
        <v>277</v>
      </c>
      <c r="C66" s="55"/>
      <c r="D66" s="229"/>
      <c r="E66" s="236"/>
      <c r="F66" s="45"/>
      <c r="G66" s="59"/>
      <c r="H66" s="59"/>
      <c r="I66" s="59"/>
      <c r="J66" s="59"/>
      <c r="K66" s="59"/>
      <c r="L66" s="59"/>
      <c r="M66" s="59"/>
      <c r="N66" s="59"/>
      <c r="O66" s="59"/>
      <c r="P66" s="59"/>
      <c r="Q66" s="59"/>
      <c r="R66" s="59"/>
      <c r="S66" s="59"/>
      <c r="T66" s="59"/>
      <c r="U66" s="59"/>
      <c r="V66" s="59"/>
      <c r="W66" s="59"/>
      <c r="X66" s="59"/>
      <c r="Y66" s="59"/>
      <c r="AC66" s="283"/>
      <c r="AD66" s="361">
        <f t="shared" si="6"/>
        <v>0</v>
      </c>
    </row>
    <row r="67" spans="1:30" s="53" customFormat="1" ht="12">
      <c r="A67" s="44"/>
      <c r="B67" s="70" t="s">
        <v>463</v>
      </c>
      <c r="C67" s="70" t="s">
        <v>366</v>
      </c>
      <c r="D67" s="229"/>
      <c r="E67" s="236"/>
      <c r="F67" s="45"/>
      <c r="G67" s="59"/>
      <c r="H67" s="59"/>
      <c r="I67" s="59"/>
      <c r="J67" s="59"/>
      <c r="K67" s="59"/>
      <c r="L67" s="59"/>
      <c r="M67" s="59"/>
      <c r="N67" s="59"/>
      <c r="O67" s="59"/>
      <c r="P67" s="59"/>
      <c r="Q67" s="59"/>
      <c r="R67" s="59"/>
      <c r="S67" s="59"/>
      <c r="T67" s="59"/>
      <c r="U67" s="59"/>
      <c r="V67" s="59"/>
      <c r="W67" s="59"/>
      <c r="X67" s="59"/>
      <c r="Y67" s="59"/>
      <c r="AC67" s="283"/>
      <c r="AD67" s="361">
        <f t="shared" si="6"/>
        <v>0</v>
      </c>
    </row>
    <row r="68" spans="1:30" s="53" customFormat="1" ht="12">
      <c r="A68" s="44"/>
      <c r="C68" s="63" t="s">
        <v>131</v>
      </c>
      <c r="D68" s="229"/>
      <c r="E68" s="236"/>
      <c r="F68" s="45"/>
      <c r="G68" s="59"/>
      <c r="H68" s="59"/>
      <c r="I68" s="59"/>
      <c r="J68" s="59"/>
      <c r="K68" s="59"/>
      <c r="L68" s="59"/>
      <c r="M68" s="59"/>
      <c r="N68" s="59"/>
      <c r="O68" s="59"/>
      <c r="P68" s="59"/>
      <c r="Q68" s="59"/>
      <c r="R68" s="59"/>
      <c r="S68" s="59"/>
      <c r="T68" s="59"/>
      <c r="U68" s="59"/>
      <c r="V68" s="59"/>
      <c r="W68" s="59"/>
      <c r="X68" s="59"/>
      <c r="Y68" s="59"/>
      <c r="AC68" s="283"/>
      <c r="AD68" s="361">
        <f t="shared" si="6"/>
        <v>0</v>
      </c>
    </row>
    <row r="69" spans="1:30" s="53" customFormat="1" ht="12">
      <c r="A69" s="44"/>
      <c r="B69" s="70"/>
      <c r="C69" s="245" t="s">
        <v>428</v>
      </c>
      <c r="D69" s="267">
        <f>20/3600</f>
        <v>5.5555555555555558E-3</v>
      </c>
      <c r="E69" s="236"/>
      <c r="F69" s="45"/>
      <c r="G69" s="59"/>
      <c r="H69" s="59"/>
      <c r="I69" s="59"/>
      <c r="J69" s="59"/>
      <c r="K69" s="59"/>
      <c r="L69" s="59"/>
      <c r="M69" s="59"/>
      <c r="N69" s="59"/>
      <c r="O69" s="59"/>
      <c r="P69" s="59"/>
      <c r="Q69" s="59"/>
      <c r="R69" s="59"/>
      <c r="S69" s="59"/>
      <c r="T69" s="59"/>
      <c r="U69" s="59"/>
      <c r="V69" s="59"/>
      <c r="W69" s="59"/>
      <c r="X69" s="59"/>
      <c r="Y69" s="59"/>
      <c r="AC69" s="283"/>
      <c r="AD69" s="361">
        <f t="shared" si="6"/>
        <v>0</v>
      </c>
    </row>
    <row r="70" spans="1:30" s="53" customFormat="1" ht="12">
      <c r="A70" s="44"/>
      <c r="B70" s="70"/>
      <c r="C70" s="243" t="s">
        <v>438</v>
      </c>
      <c r="D70" s="242">
        <f>'Price Assumptions'!$B$3</f>
        <v>13.91</v>
      </c>
      <c r="E70" s="236"/>
      <c r="F70" s="45"/>
      <c r="G70" s="59"/>
      <c r="H70" s="59"/>
      <c r="I70" s="59"/>
      <c r="J70" s="59"/>
      <c r="K70" s="59"/>
      <c r="L70" s="59"/>
      <c r="M70" s="59"/>
      <c r="N70" s="59"/>
      <c r="O70" s="59"/>
      <c r="P70" s="59"/>
      <c r="Q70" s="59"/>
      <c r="R70" s="59"/>
      <c r="S70" s="59"/>
      <c r="T70" s="59"/>
      <c r="U70" s="59"/>
      <c r="V70" s="59"/>
      <c r="W70" s="59"/>
      <c r="X70" s="59"/>
      <c r="Y70" s="59"/>
      <c r="AC70" s="283"/>
      <c r="AD70" s="361">
        <f t="shared" si="6"/>
        <v>0</v>
      </c>
    </row>
    <row r="71" spans="1:30" s="53" customFormat="1" ht="12">
      <c r="A71" s="44"/>
      <c r="B71" s="70"/>
      <c r="C71" s="62" t="s">
        <v>429</v>
      </c>
      <c r="D71" s="229"/>
      <c r="E71" s="236"/>
      <c r="F71" s="305">
        <f>($D$69/3600)*$D$70*F15</f>
        <v>0</v>
      </c>
      <c r="G71" s="305">
        <f t="shared" ref="G71" si="10">($D$69/3600)*$D$70*G15</f>
        <v>0</v>
      </c>
      <c r="H71" s="305">
        <f>($D$69)*$D$70*H15</f>
        <v>2466.6954541755695</v>
      </c>
      <c r="I71" s="305">
        <f t="shared" ref="I71:AC71" si="11">($D$69)*$D$70*I15</f>
        <v>2528.0440312752935</v>
      </c>
      <c r="J71" s="305">
        <f t="shared" si="11"/>
        <v>2589.3926083750175</v>
      </c>
      <c r="K71" s="305">
        <f t="shared" si="11"/>
        <v>2650.741185474742</v>
      </c>
      <c r="L71" s="305">
        <f t="shared" si="11"/>
        <v>2712.0897625744651</v>
      </c>
      <c r="M71" s="305">
        <f t="shared" si="11"/>
        <v>2773.43833967419</v>
      </c>
      <c r="N71" s="305">
        <f t="shared" si="11"/>
        <v>2834.7869167739145</v>
      </c>
      <c r="O71" s="305">
        <f t="shared" si="11"/>
        <v>2856.1264297211173</v>
      </c>
      <c r="P71" s="305">
        <f t="shared" si="11"/>
        <v>2877.4659426683215</v>
      </c>
      <c r="Q71" s="305">
        <f t="shared" si="11"/>
        <v>2898.8054556155248</v>
      </c>
      <c r="R71" s="305">
        <f t="shared" si="11"/>
        <v>2920.1449685627276</v>
      </c>
      <c r="S71" s="305">
        <f t="shared" si="11"/>
        <v>2941.4844815099314</v>
      </c>
      <c r="T71" s="305">
        <f t="shared" si="11"/>
        <v>2962.8239944571346</v>
      </c>
      <c r="U71" s="305">
        <f t="shared" si="11"/>
        <v>2984.1635074043379</v>
      </c>
      <c r="V71" s="305">
        <f t="shared" si="11"/>
        <v>3005.5030203515416</v>
      </c>
      <c r="W71" s="305">
        <f t="shared" si="11"/>
        <v>3026.8425332987445</v>
      </c>
      <c r="X71" s="305">
        <f t="shared" si="11"/>
        <v>3048.1820462459482</v>
      </c>
      <c r="Y71" s="305">
        <f t="shared" si="11"/>
        <v>3069.5215591931515</v>
      </c>
      <c r="Z71" s="305">
        <f t="shared" si="11"/>
        <v>3090.8610721403547</v>
      </c>
      <c r="AA71" s="305">
        <f t="shared" si="11"/>
        <v>3112.2005850875585</v>
      </c>
      <c r="AB71" s="305">
        <f t="shared" si="11"/>
        <v>3133.5400980347617</v>
      </c>
      <c r="AC71" s="305">
        <f t="shared" si="11"/>
        <v>3154.879610981965</v>
      </c>
      <c r="AD71" s="372">
        <f t="shared" si="6"/>
        <v>63637.733603596309</v>
      </c>
    </row>
    <row r="72" spans="1:30" s="53" customFormat="1" ht="12">
      <c r="A72" s="44"/>
      <c r="B72" s="70"/>
      <c r="D72" s="229"/>
      <c r="E72" s="236"/>
      <c r="F72" s="45"/>
      <c r="G72" s="59"/>
      <c r="H72" s="59"/>
      <c r="I72" s="59"/>
      <c r="J72" s="59"/>
      <c r="K72" s="59"/>
      <c r="L72" s="59"/>
      <c r="M72" s="59"/>
      <c r="N72" s="59"/>
      <c r="O72" s="59"/>
      <c r="P72" s="59"/>
      <c r="Q72" s="59"/>
      <c r="R72" s="59"/>
      <c r="S72" s="59"/>
      <c r="T72" s="59"/>
      <c r="U72" s="59"/>
      <c r="V72" s="59"/>
      <c r="W72" s="59"/>
      <c r="X72" s="59"/>
      <c r="Y72" s="59"/>
      <c r="AC72" s="283"/>
      <c r="AD72" s="361">
        <f t="shared" si="6"/>
        <v>0</v>
      </c>
    </row>
    <row r="73" spans="1:30" s="53" customFormat="1" ht="12">
      <c r="A73" s="44"/>
      <c r="B73" s="70"/>
      <c r="D73" s="229"/>
      <c r="E73" s="236"/>
      <c r="F73" s="45"/>
      <c r="G73" s="59"/>
      <c r="H73" s="59"/>
      <c r="I73" s="59"/>
      <c r="J73" s="59"/>
      <c r="K73" s="59"/>
      <c r="L73" s="59"/>
      <c r="M73" s="59"/>
      <c r="N73" s="59"/>
      <c r="O73" s="59"/>
      <c r="P73" s="59"/>
      <c r="Q73" s="59"/>
      <c r="R73" s="59"/>
      <c r="S73" s="59"/>
      <c r="T73" s="59"/>
      <c r="U73" s="59"/>
      <c r="V73" s="59"/>
      <c r="W73" s="59"/>
      <c r="X73" s="59"/>
      <c r="Y73" s="59"/>
      <c r="AC73" s="283"/>
      <c r="AD73" s="361">
        <f t="shared" si="6"/>
        <v>0</v>
      </c>
    </row>
    <row r="74" spans="1:30" s="53" customFormat="1" ht="12">
      <c r="A74" s="44"/>
      <c r="B74" s="270" t="s">
        <v>462</v>
      </c>
      <c r="C74" s="54" t="s">
        <v>426</v>
      </c>
      <c r="D74" s="229"/>
      <c r="E74" s="236"/>
      <c r="F74" s="45">
        <f>F16</f>
        <v>0</v>
      </c>
      <c r="G74" s="45">
        <f t="shared" ref="G74:AC74" si="12">G16</f>
        <v>0</v>
      </c>
      <c r="H74" s="45">
        <f t="shared" si="12"/>
        <v>957.59564719971775</v>
      </c>
      <c r="I74" s="263">
        <f t="shared" si="12"/>
        <v>981.4117734641685</v>
      </c>
      <c r="J74" s="263">
        <f t="shared" si="12"/>
        <v>1005.2278997286191</v>
      </c>
      <c r="K74" s="263">
        <f t="shared" si="12"/>
        <v>1029.0440259930701</v>
      </c>
      <c r="L74" s="263">
        <f t="shared" si="12"/>
        <v>1052.8601522575207</v>
      </c>
      <c r="M74" s="263">
        <f t="shared" si="12"/>
        <v>1076.6762785219717</v>
      </c>
      <c r="N74" s="263">
        <f t="shared" si="12"/>
        <v>1100.4924047864224</v>
      </c>
      <c r="O74" s="263">
        <f t="shared" si="12"/>
        <v>1108.7766154201317</v>
      </c>
      <c r="P74" s="263">
        <f t="shared" si="12"/>
        <v>1117.0608260538415</v>
      </c>
      <c r="Q74" s="263">
        <f t="shared" si="12"/>
        <v>1125.3450366875509</v>
      </c>
      <c r="R74" s="263">
        <f t="shared" si="12"/>
        <v>1133.6292473212602</v>
      </c>
      <c r="S74" s="263">
        <f t="shared" si="12"/>
        <v>1141.9134579549698</v>
      </c>
      <c r="T74" s="263">
        <f t="shared" si="12"/>
        <v>1150.1976685886791</v>
      </c>
      <c r="U74" s="263">
        <f t="shared" si="12"/>
        <v>1158.4818792223884</v>
      </c>
      <c r="V74" s="263">
        <f t="shared" si="12"/>
        <v>1166.766089856098</v>
      </c>
      <c r="W74" s="263">
        <f t="shared" si="12"/>
        <v>1175.0503004898073</v>
      </c>
      <c r="X74" s="263">
        <f t="shared" si="12"/>
        <v>1183.3345111235169</v>
      </c>
      <c r="Y74" s="263">
        <f t="shared" si="12"/>
        <v>1191.6187217572262</v>
      </c>
      <c r="Z74" s="263">
        <f t="shared" si="12"/>
        <v>1199.9029323909356</v>
      </c>
      <c r="AA74" s="263">
        <f t="shared" si="12"/>
        <v>1208.1871430246451</v>
      </c>
      <c r="AB74" s="263">
        <f t="shared" si="12"/>
        <v>1216.4713536583547</v>
      </c>
      <c r="AC74" s="285">
        <f t="shared" si="12"/>
        <v>1224.755564292064</v>
      </c>
      <c r="AD74" s="363">
        <f t="shared" si="6"/>
        <v>24704.799529792959</v>
      </c>
    </row>
    <row r="75" spans="1:30" s="53" customFormat="1" ht="12">
      <c r="A75" s="44"/>
      <c r="B75" s="70"/>
      <c r="C75" s="63" t="s">
        <v>131</v>
      </c>
      <c r="D75" s="229"/>
      <c r="E75" s="236"/>
      <c r="F75" s="45"/>
      <c r="G75" s="313"/>
      <c r="H75" s="313"/>
      <c r="I75" s="313"/>
      <c r="J75" s="313"/>
      <c r="K75" s="313"/>
      <c r="L75" s="313"/>
      <c r="M75" s="313"/>
      <c r="N75" s="313"/>
      <c r="O75" s="313"/>
      <c r="P75" s="313"/>
      <c r="Q75" s="313"/>
      <c r="R75" s="313"/>
      <c r="S75" s="313"/>
      <c r="T75" s="313"/>
      <c r="U75" s="313"/>
      <c r="V75" s="313"/>
      <c r="W75" s="313"/>
      <c r="X75" s="313"/>
      <c r="Y75" s="313"/>
      <c r="Z75" s="45"/>
      <c r="AA75" s="45"/>
      <c r="AB75" s="45"/>
      <c r="AC75" s="283"/>
      <c r="AD75" s="361">
        <f t="shared" si="6"/>
        <v>0</v>
      </c>
    </row>
    <row r="76" spans="1:30" s="53" customFormat="1" ht="12">
      <c r="A76" s="44"/>
      <c r="B76" s="70"/>
      <c r="C76" s="243" t="s">
        <v>403</v>
      </c>
      <c r="D76" s="229"/>
      <c r="E76" s="236"/>
      <c r="F76" s="318">
        <f>F49</f>
        <v>0.39100279786137265</v>
      </c>
      <c r="G76" s="318">
        <f t="shared" ref="G76:AC76" si="13">G49</f>
        <v>0.39205714599476826</v>
      </c>
      <c r="H76" s="318">
        <f t="shared" si="13"/>
        <v>0.39311874523828177</v>
      </c>
      <c r="I76" s="318">
        <f t="shared" si="13"/>
        <v>0.39418767065254157</v>
      </c>
      <c r="J76" s="318">
        <f t="shared" si="13"/>
        <v>0.39526399833776032</v>
      </c>
      <c r="K76" s="318">
        <f t="shared" si="13"/>
        <v>0.39634780545179538</v>
      </c>
      <c r="L76" s="318">
        <f t="shared" si="13"/>
        <v>0.39743917022858699</v>
      </c>
      <c r="M76" s="318">
        <f t="shared" si="13"/>
        <v>0.39853817199698321</v>
      </c>
      <c r="N76" s="318">
        <f t="shared" si="13"/>
        <v>0.39964489119996166</v>
      </c>
      <c r="O76" s="318">
        <f t="shared" si="13"/>
        <v>0.40075940941425758</v>
      </c>
      <c r="P76" s="318">
        <f t="shared" si="13"/>
        <v>0.40188180937040846</v>
      </c>
      <c r="Q76" s="318">
        <f t="shared" si="13"/>
        <v>0.40301217497322528</v>
      </c>
      <c r="R76" s="318">
        <f t="shared" si="13"/>
        <v>0.40415059132270104</v>
      </c>
      <c r="S76" s="318">
        <f t="shared" si="13"/>
        <v>0.40529714473536788</v>
      </c>
      <c r="T76" s="318">
        <f t="shared" si="13"/>
        <v>0.40645192276611369</v>
      </c>
      <c r="U76" s="318">
        <f t="shared" si="13"/>
        <v>0.40761501423047014</v>
      </c>
      <c r="V76" s="318">
        <f t="shared" si="13"/>
        <v>0.40878650922738302</v>
      </c>
      <c r="W76" s="318">
        <f t="shared" si="13"/>
        <v>0.40996649916247907</v>
      </c>
      <c r="X76" s="318">
        <f t="shared" si="13"/>
        <v>0.41115507677183999</v>
      </c>
      <c r="Y76" s="318">
        <f t="shared" si="13"/>
        <v>0.41235233614629774</v>
      </c>
      <c r="Z76" s="318">
        <f t="shared" si="13"/>
        <v>0.41355837275626389</v>
      </c>
      <c r="AA76" s="318">
        <f t="shared" si="13"/>
        <v>0.41477328347710757</v>
      </c>
      <c r="AB76" s="318">
        <f t="shared" si="13"/>
        <v>0.415997166615095</v>
      </c>
      <c r="AC76" s="321">
        <f t="shared" si="13"/>
        <v>0.41723012193390652</v>
      </c>
      <c r="AD76" s="368">
        <f t="shared" si="6"/>
        <v>9.6905878298649686</v>
      </c>
    </row>
    <row r="77" spans="1:30" s="53" customFormat="1" ht="12">
      <c r="A77" s="44"/>
      <c r="B77" s="70"/>
      <c r="C77" s="243" t="s">
        <v>420</v>
      </c>
      <c r="D77" s="268">
        <f>D50</f>
        <v>0.38127571701364549</v>
      </c>
      <c r="E77" s="236"/>
      <c r="F77" s="45"/>
      <c r="G77" s="313"/>
      <c r="H77" s="313"/>
      <c r="I77" s="313"/>
      <c r="J77" s="313"/>
      <c r="K77" s="313"/>
      <c r="L77" s="313"/>
      <c r="M77" s="313"/>
      <c r="N77" s="313"/>
      <c r="O77" s="313"/>
      <c r="P77" s="313"/>
      <c r="Q77" s="313"/>
      <c r="R77" s="313"/>
      <c r="S77" s="313"/>
      <c r="T77" s="313"/>
      <c r="U77" s="313"/>
      <c r="V77" s="313"/>
      <c r="W77" s="313"/>
      <c r="X77" s="313"/>
      <c r="Y77" s="313"/>
      <c r="Z77" s="45"/>
      <c r="AA77" s="45"/>
      <c r="AB77" s="45"/>
      <c r="AC77" s="283"/>
      <c r="AD77" s="361">
        <f t="shared" si="6"/>
        <v>0</v>
      </c>
    </row>
    <row r="78" spans="1:30" s="53" customFormat="1" ht="12">
      <c r="A78" s="44"/>
      <c r="B78" s="70"/>
      <c r="C78" s="243" t="s">
        <v>439</v>
      </c>
      <c r="D78" s="229">
        <f>'Mode Operating Assumptions'!C102</f>
        <v>0.17899999999999999</v>
      </c>
      <c r="E78" s="236"/>
      <c r="F78" s="45"/>
      <c r="G78" s="313"/>
      <c r="H78" s="313"/>
      <c r="I78" s="313"/>
      <c r="J78" s="313"/>
      <c r="K78" s="313"/>
      <c r="L78" s="313"/>
      <c r="M78" s="313"/>
      <c r="N78" s="313"/>
      <c r="O78" s="313"/>
      <c r="P78" s="313"/>
      <c r="Q78" s="313"/>
      <c r="R78" s="313"/>
      <c r="S78" s="313"/>
      <c r="T78" s="313"/>
      <c r="U78" s="313"/>
      <c r="V78" s="313"/>
      <c r="W78" s="313"/>
      <c r="X78" s="313"/>
      <c r="Y78" s="313"/>
      <c r="Z78" s="45"/>
      <c r="AA78" s="45"/>
      <c r="AB78" s="45"/>
      <c r="AC78" s="283"/>
      <c r="AD78" s="361">
        <f t="shared" si="6"/>
        <v>0</v>
      </c>
    </row>
    <row r="79" spans="1:30" s="53" customFormat="1" ht="12">
      <c r="A79" s="44"/>
      <c r="B79" s="70"/>
      <c r="C79" s="243" t="s">
        <v>400</v>
      </c>
      <c r="D79" s="229">
        <f>D52</f>
        <v>13.91</v>
      </c>
      <c r="E79" s="236"/>
      <c r="F79" s="45"/>
      <c r="G79" s="313"/>
      <c r="H79" s="313"/>
      <c r="I79" s="313"/>
      <c r="J79" s="313"/>
      <c r="K79" s="313"/>
      <c r="L79" s="313"/>
      <c r="M79" s="313"/>
      <c r="N79" s="313"/>
      <c r="O79" s="313"/>
      <c r="P79" s="313"/>
      <c r="Q79" s="313"/>
      <c r="R79" s="313"/>
      <c r="S79" s="313"/>
      <c r="T79" s="313"/>
      <c r="U79" s="313"/>
      <c r="V79" s="313"/>
      <c r="W79" s="313"/>
      <c r="X79" s="313"/>
      <c r="Y79" s="313"/>
      <c r="Z79" s="45"/>
      <c r="AA79" s="45"/>
      <c r="AB79" s="45"/>
      <c r="AC79" s="283"/>
      <c r="AD79" s="361">
        <f t="shared" si="6"/>
        <v>0</v>
      </c>
    </row>
    <row r="80" spans="1:30" s="53" customFormat="1" ht="12">
      <c r="A80" s="44"/>
      <c r="B80" s="70"/>
      <c r="C80" s="243" t="s">
        <v>401</v>
      </c>
      <c r="D80" s="229">
        <f t="shared" ref="D80" si="14">D53</f>
        <v>13.91</v>
      </c>
      <c r="E80" s="236"/>
      <c r="F80" s="45"/>
      <c r="G80" s="313"/>
      <c r="H80" s="313"/>
      <c r="I80" s="313"/>
      <c r="J80" s="313"/>
      <c r="K80" s="313"/>
      <c r="L80" s="313"/>
      <c r="M80" s="313"/>
      <c r="N80" s="313"/>
      <c r="O80" s="313"/>
      <c r="P80" s="313"/>
      <c r="Q80" s="313"/>
      <c r="R80" s="313"/>
      <c r="S80" s="313"/>
      <c r="T80" s="313"/>
      <c r="U80" s="313"/>
      <c r="V80" s="313"/>
      <c r="W80" s="313"/>
      <c r="X80" s="313"/>
      <c r="Y80" s="313"/>
      <c r="Z80" s="45"/>
      <c r="AA80" s="45"/>
      <c r="AB80" s="45"/>
      <c r="AC80" s="283"/>
      <c r="AD80" s="361">
        <f t="shared" si="6"/>
        <v>0</v>
      </c>
    </row>
    <row r="81" spans="1:30" s="53" customFormat="1" ht="12">
      <c r="A81" s="44"/>
      <c r="B81" s="70"/>
      <c r="C81" s="243" t="s">
        <v>438</v>
      </c>
      <c r="D81" s="229">
        <f>'Mode Operating Assumptions'!C103</f>
        <v>13.91</v>
      </c>
      <c r="E81" s="236"/>
      <c r="F81" s="45"/>
      <c r="G81" s="313"/>
      <c r="H81" s="313"/>
      <c r="I81" s="313"/>
      <c r="J81" s="313"/>
      <c r="K81" s="313"/>
      <c r="L81" s="313"/>
      <c r="M81" s="313"/>
      <c r="N81" s="313"/>
      <c r="O81" s="313"/>
      <c r="P81" s="313"/>
      <c r="Q81" s="313"/>
      <c r="R81" s="313"/>
      <c r="S81" s="313"/>
      <c r="T81" s="313"/>
      <c r="U81" s="313"/>
      <c r="V81" s="313"/>
      <c r="W81" s="313"/>
      <c r="X81" s="313"/>
      <c r="Y81" s="313"/>
      <c r="Z81" s="45"/>
      <c r="AA81" s="45"/>
      <c r="AB81" s="45"/>
      <c r="AC81" s="283"/>
      <c r="AD81" s="361">
        <f t="shared" si="6"/>
        <v>0</v>
      </c>
    </row>
    <row r="82" spans="1:30" s="53" customFormat="1" ht="12">
      <c r="A82" s="44"/>
      <c r="B82" s="70"/>
      <c r="C82" s="78" t="s">
        <v>440</v>
      </c>
      <c r="D82" s="229"/>
      <c r="E82" s="236"/>
      <c r="F82" s="275">
        <f>+(F76*$D$79)-($D$77*$D$80)-($D$78*$D$81)</f>
        <v>-2.3545863054081151</v>
      </c>
      <c r="G82" s="275">
        <f t="shared" ref="G82:AC82" si="15">+(G76*$D$79)-($D$77*$D$80)-($D$78*$D$81)</f>
        <v>-2.3399203228725822</v>
      </c>
      <c r="H82" s="275">
        <f t="shared" si="15"/>
        <v>-2.3251534773953093</v>
      </c>
      <c r="I82" s="275">
        <f t="shared" si="15"/>
        <v>-2.3102847248829557</v>
      </c>
      <c r="J82" s="275">
        <f t="shared" si="15"/>
        <v>-2.2953130067815621</v>
      </c>
      <c r="K82" s="275">
        <f t="shared" si="15"/>
        <v>-2.2802372498253352</v>
      </c>
      <c r="L82" s="275">
        <f t="shared" si="15"/>
        <v>-2.2650563657801639</v>
      </c>
      <c r="M82" s="275">
        <f t="shared" si="15"/>
        <v>-2.249769251181772</v>
      </c>
      <c r="N82" s="275">
        <f t="shared" si="15"/>
        <v>-2.2343747870683419</v>
      </c>
      <c r="O82" s="275">
        <f t="shared" si="15"/>
        <v>-2.2188718387074857</v>
      </c>
      <c r="P82" s="275">
        <f t="shared" si="15"/>
        <v>-2.2032592553174268</v>
      </c>
      <c r="Q82" s="275">
        <f t="shared" si="15"/>
        <v>-2.1875358697822449</v>
      </c>
      <c r="R82" s="275">
        <f t="shared" si="15"/>
        <v>-2.1717004983610373</v>
      </c>
      <c r="S82" s="275">
        <f t="shared" si="15"/>
        <v>-2.1557519403908412</v>
      </c>
      <c r="T82" s="275">
        <f t="shared" si="15"/>
        <v>-2.1396889779831669</v>
      </c>
      <c r="U82" s="275">
        <f t="shared" si="15"/>
        <v>-2.1235103757139688</v>
      </c>
      <c r="V82" s="275">
        <f t="shared" si="15"/>
        <v>-2.1072148803069108</v>
      </c>
      <c r="W82" s="275">
        <f t="shared" si="15"/>
        <v>-2.090801220309725</v>
      </c>
      <c r="X82" s="275">
        <f t="shared" si="15"/>
        <v>-2.0742681057635144</v>
      </c>
      <c r="Y82" s="275">
        <f t="shared" si="15"/>
        <v>-2.0576142278648071</v>
      </c>
      <c r="Z82" s="275">
        <f t="shared" si="15"/>
        <v>-2.0408382586201776</v>
      </c>
      <c r="AA82" s="275">
        <f t="shared" si="15"/>
        <v>-2.0239388504932423</v>
      </c>
      <c r="AB82" s="275">
        <f t="shared" si="15"/>
        <v>-2.0069146360438372</v>
      </c>
      <c r="AC82" s="288">
        <f t="shared" si="15"/>
        <v>-1.9897642275591689</v>
      </c>
      <c r="AD82" s="369">
        <f t="shared" si="6"/>
        <v>-52.2463686544137</v>
      </c>
    </row>
    <row r="83" spans="1:30">
      <c r="D83" s="229"/>
      <c r="E83" s="236"/>
      <c r="F83" s="275">
        <f>F82*F74</f>
        <v>0</v>
      </c>
      <c r="G83" s="275">
        <f t="shared" ref="G83:AC83" si="16">G82*G74</f>
        <v>0</v>
      </c>
      <c r="H83" s="275">
        <f t="shared" si="16"/>
        <v>-2226.5568490250357</v>
      </c>
      <c r="I83" s="275">
        <f t="shared" si="16"/>
        <v>-2267.3406290545599</v>
      </c>
      <c r="J83" s="275">
        <f t="shared" si="16"/>
        <v>-2307.3126730268114</v>
      </c>
      <c r="K83" s="275">
        <f t="shared" si="16"/>
        <v>-2346.464519779629</v>
      </c>
      <c r="L83" s="275">
        <f t="shared" si="16"/>
        <v>-2384.7875901471698</v>
      </c>
      <c r="M83" s="275">
        <f t="shared" si="16"/>
        <v>-2422.2731848955532</v>
      </c>
      <c r="N83" s="275">
        <f t="shared" si="16"/>
        <v>-2458.91248261499</v>
      </c>
      <c r="O83" s="275">
        <f t="shared" si="16"/>
        <v>-2460.2332073731304</v>
      </c>
      <c r="P83" s="275">
        <f t="shared" si="16"/>
        <v>-2461.1746037556568</v>
      </c>
      <c r="Q83" s="275">
        <f t="shared" si="16"/>
        <v>-2461.732633635434</v>
      </c>
      <c r="R83" s="275">
        <f t="shared" si="16"/>
        <v>-2461.9032013642286</v>
      </c>
      <c r="S83" s="275">
        <f t="shared" si="16"/>
        <v>-2461.6821527448415</v>
      </c>
      <c r="T83" s="275">
        <f t="shared" si="16"/>
        <v>-2461.0652739811321</v>
      </c>
      <c r="U83" s="275">
        <f t="shared" si="16"/>
        <v>-2460.0482906053589</v>
      </c>
      <c r="V83" s="275">
        <f t="shared" si="16"/>
        <v>-2458.6268663822798</v>
      </c>
      <c r="W83" s="275">
        <f t="shared" si="16"/>
        <v>-2456.7966021893981</v>
      </c>
      <c r="X83" s="275">
        <f t="shared" si="16"/>
        <v>-2454.5530348727716</v>
      </c>
      <c r="Y83" s="275">
        <f t="shared" si="16"/>
        <v>-2451.8916360777434</v>
      </c>
      <c r="Z83" s="275">
        <f t="shared" si="16"/>
        <v>-2448.8078110539618</v>
      </c>
      <c r="AA83" s="275">
        <f t="shared" si="16"/>
        <v>-2445.2968974340147</v>
      </c>
      <c r="AB83" s="275">
        <f t="shared" si="16"/>
        <v>-2441.3541639850109</v>
      </c>
      <c r="AC83" s="288">
        <f t="shared" si="16"/>
        <v>-2436.9748093323929</v>
      </c>
      <c r="AD83" s="369">
        <f t="shared" si="6"/>
        <v>-53235.789113331106</v>
      </c>
    </row>
    <row r="84" spans="1:30" s="53" customFormat="1" ht="12">
      <c r="A84" s="44"/>
      <c r="B84" s="70"/>
      <c r="C84" s="62" t="s">
        <v>429</v>
      </c>
      <c r="D84" s="229"/>
      <c r="E84" s="236"/>
      <c r="F84" s="309">
        <f>F83</f>
        <v>0</v>
      </c>
      <c r="G84" s="309">
        <f t="shared" ref="G84:AC84" si="17">G83</f>
        <v>0</v>
      </c>
      <c r="H84" s="309">
        <f t="shared" si="17"/>
        <v>-2226.5568490250357</v>
      </c>
      <c r="I84" s="309">
        <f t="shared" si="17"/>
        <v>-2267.3406290545599</v>
      </c>
      <c r="J84" s="309">
        <f t="shared" si="17"/>
        <v>-2307.3126730268114</v>
      </c>
      <c r="K84" s="309">
        <f t="shared" si="17"/>
        <v>-2346.464519779629</v>
      </c>
      <c r="L84" s="309">
        <f t="shared" si="17"/>
        <v>-2384.7875901471698</v>
      </c>
      <c r="M84" s="309">
        <f t="shared" si="17"/>
        <v>-2422.2731848955532</v>
      </c>
      <c r="N84" s="309">
        <f t="shared" si="17"/>
        <v>-2458.91248261499</v>
      </c>
      <c r="O84" s="309">
        <f t="shared" si="17"/>
        <v>-2460.2332073731304</v>
      </c>
      <c r="P84" s="309">
        <f t="shared" si="17"/>
        <v>-2461.1746037556568</v>
      </c>
      <c r="Q84" s="309">
        <f t="shared" si="17"/>
        <v>-2461.732633635434</v>
      </c>
      <c r="R84" s="309">
        <f t="shared" si="17"/>
        <v>-2461.9032013642286</v>
      </c>
      <c r="S84" s="309">
        <f t="shared" si="17"/>
        <v>-2461.6821527448415</v>
      </c>
      <c r="T84" s="309">
        <f t="shared" si="17"/>
        <v>-2461.0652739811321</v>
      </c>
      <c r="U84" s="309">
        <f t="shared" si="17"/>
        <v>-2460.0482906053589</v>
      </c>
      <c r="V84" s="309">
        <f t="shared" si="17"/>
        <v>-2458.6268663822798</v>
      </c>
      <c r="W84" s="309">
        <f t="shared" si="17"/>
        <v>-2456.7966021893981</v>
      </c>
      <c r="X84" s="309">
        <f t="shared" si="17"/>
        <v>-2454.5530348727716</v>
      </c>
      <c r="Y84" s="309">
        <f t="shared" si="17"/>
        <v>-2451.8916360777434</v>
      </c>
      <c r="Z84" s="309">
        <f t="shared" si="17"/>
        <v>-2448.8078110539618</v>
      </c>
      <c r="AA84" s="309">
        <f t="shared" si="17"/>
        <v>-2445.2968974340147</v>
      </c>
      <c r="AB84" s="309">
        <f t="shared" si="17"/>
        <v>-2441.3541639850109</v>
      </c>
      <c r="AC84" s="340">
        <f t="shared" si="17"/>
        <v>-2436.9748093323929</v>
      </c>
      <c r="AD84" s="370">
        <f t="shared" si="6"/>
        <v>-53235.789113331106</v>
      </c>
    </row>
    <row r="85" spans="1:30" s="53" customFormat="1" ht="12">
      <c r="A85" s="44"/>
      <c r="B85" s="70"/>
      <c r="C85" s="62"/>
      <c r="D85" s="229"/>
      <c r="E85" s="236"/>
      <c r="F85" s="45"/>
      <c r="G85" s="59"/>
      <c r="H85" s="59"/>
      <c r="I85" s="59"/>
      <c r="J85" s="59"/>
      <c r="K85" s="59"/>
      <c r="L85" s="59"/>
      <c r="M85" s="59"/>
      <c r="N85" s="59"/>
      <c r="O85" s="59"/>
      <c r="P85" s="59"/>
      <c r="Q85" s="59"/>
      <c r="R85" s="59"/>
      <c r="S85" s="59"/>
      <c r="T85" s="59"/>
      <c r="U85" s="59"/>
      <c r="V85" s="59"/>
      <c r="W85" s="59"/>
      <c r="X85" s="59"/>
      <c r="Y85" s="59"/>
      <c r="AC85" s="283"/>
      <c r="AD85" s="361">
        <f t="shared" si="6"/>
        <v>0</v>
      </c>
    </row>
    <row r="86" spans="1:30" s="53" customFormat="1" ht="12">
      <c r="A86" s="44"/>
      <c r="B86" s="70"/>
      <c r="C86" s="63" t="s">
        <v>149</v>
      </c>
      <c r="D86" s="229"/>
      <c r="E86" s="236"/>
      <c r="F86" s="45"/>
      <c r="G86" s="59"/>
      <c r="H86" s="59"/>
      <c r="I86" s="59"/>
      <c r="J86" s="59"/>
      <c r="K86" s="59"/>
      <c r="L86" s="59"/>
      <c r="M86" s="59"/>
      <c r="N86" s="59"/>
      <c r="O86" s="59"/>
      <c r="P86" s="59"/>
      <c r="Q86" s="59"/>
      <c r="R86" s="59"/>
      <c r="S86" s="59"/>
      <c r="T86" s="59"/>
      <c r="U86" s="59"/>
      <c r="V86" s="59"/>
      <c r="W86" s="59"/>
      <c r="X86" s="59"/>
      <c r="Y86" s="59"/>
      <c r="AC86" s="283"/>
      <c r="AD86" s="361">
        <f t="shared" si="6"/>
        <v>0</v>
      </c>
    </row>
    <row r="87" spans="1:30" s="53" customFormat="1" ht="12">
      <c r="A87" s="44"/>
      <c r="B87" s="70"/>
      <c r="C87" s="243" t="s">
        <v>446</v>
      </c>
      <c r="D87" s="273">
        <f>D60</f>
        <v>8.1905000000000001</v>
      </c>
      <c r="E87" s="236"/>
      <c r="F87" s="45"/>
      <c r="G87" s="59"/>
      <c r="H87" s="59"/>
      <c r="I87" s="59"/>
      <c r="J87" s="59"/>
      <c r="K87" s="59"/>
      <c r="L87" s="59"/>
      <c r="M87" s="59"/>
      <c r="N87" s="59"/>
      <c r="O87" s="59"/>
      <c r="P87" s="59"/>
      <c r="Q87" s="59"/>
      <c r="R87" s="59"/>
      <c r="S87" s="59"/>
      <c r="T87" s="59"/>
      <c r="U87" s="59"/>
      <c r="V87" s="59"/>
      <c r="W87" s="59"/>
      <c r="X87" s="59"/>
      <c r="Y87" s="59"/>
      <c r="AC87" s="283"/>
      <c r="AD87" s="361">
        <f t="shared" si="6"/>
        <v>0</v>
      </c>
    </row>
    <row r="88" spans="1:30" s="53" customFormat="1" ht="12">
      <c r="A88" s="44"/>
      <c r="B88" s="70"/>
      <c r="C88" s="244" t="s">
        <v>402</v>
      </c>
      <c r="D88" s="273">
        <f t="shared" ref="D88" si="18">D61</f>
        <v>2.107407271835358</v>
      </c>
      <c r="E88" s="236"/>
      <c r="F88" s="45"/>
      <c r="G88" s="59"/>
      <c r="H88" s="59"/>
      <c r="I88" s="59"/>
      <c r="J88" s="59"/>
      <c r="K88" s="59"/>
      <c r="L88" s="59"/>
      <c r="M88" s="59"/>
      <c r="N88" s="59"/>
      <c r="O88" s="59"/>
      <c r="P88" s="59"/>
      <c r="Q88" s="59"/>
      <c r="R88" s="59"/>
      <c r="S88" s="59"/>
      <c r="T88" s="59"/>
      <c r="U88" s="59"/>
      <c r="V88" s="59"/>
      <c r="W88" s="59"/>
      <c r="X88" s="59"/>
      <c r="Y88" s="59"/>
      <c r="AC88" s="283"/>
      <c r="AD88" s="361">
        <f t="shared" si="6"/>
        <v>0</v>
      </c>
    </row>
    <row r="89" spans="1:30" s="53" customFormat="1" ht="12">
      <c r="A89" s="44"/>
      <c r="B89" s="70"/>
      <c r="C89" s="244" t="s">
        <v>414</v>
      </c>
      <c r="D89" s="273">
        <v>0.1</v>
      </c>
      <c r="E89" s="236"/>
      <c r="F89" s="45"/>
      <c r="G89" s="59"/>
      <c r="H89" s="59"/>
      <c r="I89" s="59"/>
      <c r="J89" s="59"/>
      <c r="K89" s="59"/>
      <c r="L89" s="59"/>
      <c r="M89" s="59"/>
      <c r="N89" s="59"/>
      <c r="O89" s="59"/>
      <c r="P89" s="59"/>
      <c r="Q89" s="59"/>
      <c r="R89" s="59"/>
      <c r="S89" s="59"/>
      <c r="T89" s="59"/>
      <c r="U89" s="59"/>
      <c r="V89" s="59"/>
      <c r="W89" s="59"/>
      <c r="X89" s="59"/>
      <c r="Y89" s="59"/>
      <c r="AC89" s="283"/>
      <c r="AD89" s="361">
        <f t="shared" si="6"/>
        <v>0</v>
      </c>
    </row>
    <row r="90" spans="1:30" s="53" customFormat="1" ht="12">
      <c r="A90" s="44"/>
      <c r="B90" s="70"/>
      <c r="C90" s="78" t="s">
        <v>441</v>
      </c>
      <c r="D90" s="273">
        <f>+D87-D88-D89</f>
        <v>5.9830927281646424</v>
      </c>
      <c r="E90" s="236"/>
      <c r="F90" s="252">
        <f t="shared" ref="F90:AC90" si="19">$D90*F74</f>
        <v>0</v>
      </c>
      <c r="G90" s="252">
        <f t="shared" si="19"/>
        <v>0</v>
      </c>
      <c r="H90" s="252">
        <f t="shared" si="19"/>
        <v>5729.3835532827461</v>
      </c>
      <c r="I90" s="252">
        <f t="shared" si="19"/>
        <v>5871.8776451486319</v>
      </c>
      <c r="J90" s="252">
        <f t="shared" si="19"/>
        <v>6014.3717370145177</v>
      </c>
      <c r="K90" s="252">
        <f t="shared" si="19"/>
        <v>6156.8658288804054</v>
      </c>
      <c r="L90" s="252">
        <f t="shared" si="19"/>
        <v>6299.3599207462903</v>
      </c>
      <c r="M90" s="252">
        <f t="shared" si="19"/>
        <v>6441.8540126121779</v>
      </c>
      <c r="N90" s="252">
        <f t="shared" si="19"/>
        <v>6584.3481044780638</v>
      </c>
      <c r="O90" s="252">
        <f t="shared" si="19"/>
        <v>6633.9133048791946</v>
      </c>
      <c r="P90" s="252">
        <f t="shared" si="19"/>
        <v>6683.4785052803281</v>
      </c>
      <c r="Q90" s="252">
        <f t="shared" si="19"/>
        <v>6733.0437056814581</v>
      </c>
      <c r="R90" s="252">
        <f t="shared" si="19"/>
        <v>6782.6089060825889</v>
      </c>
      <c r="S90" s="252">
        <f t="shared" si="19"/>
        <v>6832.1741064837206</v>
      </c>
      <c r="T90" s="252">
        <f t="shared" si="19"/>
        <v>6881.7393068848514</v>
      </c>
      <c r="U90" s="252">
        <f t="shared" si="19"/>
        <v>6931.3045072859823</v>
      </c>
      <c r="V90" s="252">
        <f t="shared" si="19"/>
        <v>6980.869707687114</v>
      </c>
      <c r="W90" s="252">
        <f t="shared" si="19"/>
        <v>7030.4349080882439</v>
      </c>
      <c r="X90" s="252">
        <f t="shared" si="19"/>
        <v>7080.0001084893765</v>
      </c>
      <c r="Y90" s="252">
        <f t="shared" si="19"/>
        <v>7129.5653088905065</v>
      </c>
      <c r="Z90" s="252">
        <f t="shared" si="19"/>
        <v>7179.1305092916373</v>
      </c>
      <c r="AA90" s="252">
        <f t="shared" si="19"/>
        <v>7228.695709692769</v>
      </c>
      <c r="AB90" s="252">
        <f t="shared" si="19"/>
        <v>7278.2609100939007</v>
      </c>
      <c r="AC90" s="286">
        <f t="shared" si="19"/>
        <v>7327.8261104950316</v>
      </c>
      <c r="AD90" s="371">
        <f t="shared" si="6"/>
        <v>147811.10641746953</v>
      </c>
    </row>
    <row r="91" spans="1:30" s="53" customFormat="1" ht="12">
      <c r="A91" s="44"/>
      <c r="C91" s="62" t="s">
        <v>430</v>
      </c>
      <c r="D91" s="229"/>
      <c r="E91" s="236"/>
      <c r="F91" s="305">
        <f>F90</f>
        <v>0</v>
      </c>
      <c r="G91" s="305">
        <f t="shared" ref="G91:AC91" si="20">G90</f>
        <v>0</v>
      </c>
      <c r="H91" s="305">
        <f t="shared" si="20"/>
        <v>5729.3835532827461</v>
      </c>
      <c r="I91" s="305">
        <f t="shared" si="20"/>
        <v>5871.8776451486319</v>
      </c>
      <c r="J91" s="305">
        <f t="shared" si="20"/>
        <v>6014.3717370145177</v>
      </c>
      <c r="K91" s="305">
        <f t="shared" si="20"/>
        <v>6156.8658288804054</v>
      </c>
      <c r="L91" s="305">
        <f t="shared" si="20"/>
        <v>6299.3599207462903</v>
      </c>
      <c r="M91" s="305">
        <f t="shared" si="20"/>
        <v>6441.8540126121779</v>
      </c>
      <c r="N91" s="305">
        <f t="shared" si="20"/>
        <v>6584.3481044780638</v>
      </c>
      <c r="O91" s="305">
        <f t="shared" si="20"/>
        <v>6633.9133048791946</v>
      </c>
      <c r="P91" s="305">
        <f t="shared" si="20"/>
        <v>6683.4785052803281</v>
      </c>
      <c r="Q91" s="305">
        <f t="shared" si="20"/>
        <v>6733.0437056814581</v>
      </c>
      <c r="R91" s="305">
        <f t="shared" si="20"/>
        <v>6782.6089060825889</v>
      </c>
      <c r="S91" s="305">
        <f t="shared" si="20"/>
        <v>6832.1741064837206</v>
      </c>
      <c r="T91" s="305">
        <f t="shared" si="20"/>
        <v>6881.7393068848514</v>
      </c>
      <c r="U91" s="305">
        <f t="shared" si="20"/>
        <v>6931.3045072859823</v>
      </c>
      <c r="V91" s="305">
        <f t="shared" si="20"/>
        <v>6980.869707687114</v>
      </c>
      <c r="W91" s="305">
        <f t="shared" si="20"/>
        <v>7030.4349080882439</v>
      </c>
      <c r="X91" s="305">
        <f t="shared" si="20"/>
        <v>7080.0001084893765</v>
      </c>
      <c r="Y91" s="305">
        <f t="shared" si="20"/>
        <v>7129.5653088905065</v>
      </c>
      <c r="Z91" s="305">
        <f t="shared" si="20"/>
        <v>7179.1305092916373</v>
      </c>
      <c r="AA91" s="305">
        <f t="shared" si="20"/>
        <v>7228.695709692769</v>
      </c>
      <c r="AB91" s="305">
        <f t="shared" si="20"/>
        <v>7278.2609100939007</v>
      </c>
      <c r="AC91" s="306">
        <f t="shared" si="20"/>
        <v>7327.8261104950316</v>
      </c>
      <c r="AD91" s="371">
        <f t="shared" si="6"/>
        <v>147811.10641746953</v>
      </c>
    </row>
    <row r="92" spans="1:30" s="53" customFormat="1" ht="12">
      <c r="A92" s="44"/>
      <c r="B92" s="70"/>
      <c r="D92" s="229"/>
      <c r="E92" s="236"/>
      <c r="F92" s="45"/>
      <c r="G92" s="59"/>
      <c r="H92" s="59"/>
      <c r="I92" s="59"/>
      <c r="J92" s="59"/>
      <c r="K92" s="59"/>
      <c r="L92" s="59"/>
      <c r="M92" s="59"/>
      <c r="N92" s="59"/>
      <c r="O92" s="59"/>
      <c r="P92" s="59"/>
      <c r="Q92" s="59"/>
      <c r="R92" s="59"/>
      <c r="S92" s="59"/>
      <c r="T92" s="59"/>
      <c r="U92" s="59"/>
      <c r="V92" s="59"/>
      <c r="W92" s="59"/>
      <c r="X92" s="59"/>
      <c r="Y92" s="59"/>
      <c r="AC92" s="283"/>
      <c r="AD92" s="361">
        <f t="shared" si="6"/>
        <v>0</v>
      </c>
    </row>
    <row r="93" spans="1:30" s="53" customFormat="1" ht="12">
      <c r="A93" s="64"/>
      <c r="B93" s="64"/>
      <c r="D93" s="228"/>
      <c r="E93" s="236"/>
      <c r="F93" s="45"/>
      <c r="G93" s="57"/>
      <c r="AC93" s="283"/>
      <c r="AD93" s="361">
        <f t="shared" ref="AD93:AD106" si="21">SUM(F93:AC93)</f>
        <v>0</v>
      </c>
    </row>
    <row r="94" spans="1:30" s="53" customFormat="1" ht="12">
      <c r="A94" s="45"/>
      <c r="B94" s="45"/>
      <c r="C94" s="64" t="s">
        <v>94</v>
      </c>
      <c r="D94" s="228"/>
      <c r="E94" s="236"/>
      <c r="F94" s="45"/>
      <c r="G94" s="57"/>
      <c r="AC94" s="283"/>
      <c r="AD94" s="361">
        <f t="shared" si="21"/>
        <v>0</v>
      </c>
    </row>
    <row r="95" spans="1:30" s="53" customFormat="1" ht="12">
      <c r="A95" s="45"/>
      <c r="B95" s="45"/>
      <c r="C95" s="55" t="s">
        <v>500</v>
      </c>
      <c r="D95" s="279">
        <v>0.5</v>
      </c>
      <c r="E95" s="236"/>
      <c r="F95" s="45"/>
      <c r="G95" s="57"/>
      <c r="AC95" s="283"/>
      <c r="AD95" s="361">
        <f t="shared" si="21"/>
        <v>0</v>
      </c>
    </row>
    <row r="96" spans="1:30" s="53" customFormat="1" ht="12">
      <c r="A96" s="45"/>
      <c r="B96" s="45"/>
      <c r="C96" s="78"/>
      <c r="D96" s="228"/>
      <c r="E96" s="236"/>
      <c r="F96" s="45"/>
      <c r="G96" s="57"/>
      <c r="AC96" s="283"/>
      <c r="AD96" s="361">
        <f t="shared" si="21"/>
        <v>0</v>
      </c>
    </row>
    <row r="97" spans="1:30" s="53" customFormat="1" ht="12">
      <c r="A97" s="44"/>
      <c r="B97" s="5" t="s">
        <v>367</v>
      </c>
      <c r="C97" s="78" t="s">
        <v>418</v>
      </c>
      <c r="D97" s="273"/>
      <c r="E97" s="236"/>
      <c r="F97" s="45">
        <f>F12</f>
        <v>0</v>
      </c>
      <c r="G97" s="45">
        <f t="shared" ref="G97:AC97" si="22">G12</f>
        <v>0</v>
      </c>
      <c r="H97" s="45">
        <f t="shared" si="22"/>
        <v>11078.814330405337</v>
      </c>
      <c r="I97" s="45">
        <f t="shared" si="22"/>
        <v>11354.352801914607</v>
      </c>
      <c r="J97" s="45">
        <f t="shared" si="22"/>
        <v>11629.891273423877</v>
      </c>
      <c r="K97" s="45">
        <f t="shared" si="22"/>
        <v>11905.429744933148</v>
      </c>
      <c r="L97" s="45">
        <f t="shared" si="22"/>
        <v>12180.968216442414</v>
      </c>
      <c r="M97" s="45">
        <f t="shared" si="22"/>
        <v>12456.506687951687</v>
      </c>
      <c r="N97" s="45">
        <f t="shared" si="22"/>
        <v>12732.045159460957</v>
      </c>
      <c r="O97" s="45">
        <f t="shared" si="22"/>
        <v>12827.888568684073</v>
      </c>
      <c r="P97" s="45">
        <f t="shared" si="22"/>
        <v>12923.73197790719</v>
      </c>
      <c r="Q97" s="45">
        <f t="shared" si="22"/>
        <v>13019.5753871303</v>
      </c>
      <c r="R97" s="45">
        <f t="shared" si="22"/>
        <v>13115.41879635342</v>
      </c>
      <c r="S97" s="45">
        <f t="shared" si="22"/>
        <v>13211.262205576533</v>
      </c>
      <c r="T97" s="45">
        <f t="shared" si="22"/>
        <v>13307.105614799648</v>
      </c>
      <c r="U97" s="45">
        <f t="shared" si="22"/>
        <v>13402.949024022762</v>
      </c>
      <c r="V97" s="45">
        <f t="shared" si="22"/>
        <v>13498.792433245877</v>
      </c>
      <c r="W97" s="45">
        <f t="shared" si="22"/>
        <v>13594.63584246899</v>
      </c>
      <c r="X97" s="45">
        <f t="shared" si="22"/>
        <v>13690.47925169211</v>
      </c>
      <c r="Y97" s="45">
        <f t="shared" si="22"/>
        <v>13786.322660915223</v>
      </c>
      <c r="Z97" s="45">
        <f t="shared" si="22"/>
        <v>13882.166070138337</v>
      </c>
      <c r="AA97" s="45">
        <f t="shared" si="22"/>
        <v>13978.009479361453</v>
      </c>
      <c r="AB97" s="45">
        <f t="shared" si="22"/>
        <v>14073.85288858457</v>
      </c>
      <c r="AC97" s="283">
        <f t="shared" si="22"/>
        <v>14169.696297807686</v>
      </c>
      <c r="AD97" s="361">
        <f t="shared" si="21"/>
        <v>285819.89471322013</v>
      </c>
    </row>
    <row r="98" spans="1:30" s="53" customFormat="1" ht="12">
      <c r="A98" s="44"/>
      <c r="B98" s="5"/>
      <c r="C98" s="78" t="s">
        <v>417</v>
      </c>
      <c r="D98" s="273"/>
      <c r="E98" s="236"/>
      <c r="F98" s="275">
        <f>$D$95*F55</f>
        <v>-3.0038325277040578</v>
      </c>
      <c r="G98" s="275">
        <f t="shared" ref="G98:AC98" si="23">$D$95*G55</f>
        <v>-2.9964995364362914</v>
      </c>
      <c r="H98" s="275">
        <f t="shared" si="23"/>
        <v>-2.989116113697655</v>
      </c>
      <c r="I98" s="275">
        <f t="shared" si="23"/>
        <v>-2.9816817374414781</v>
      </c>
      <c r="J98" s="275">
        <f t="shared" si="23"/>
        <v>-2.9741958783907814</v>
      </c>
      <c r="K98" s="275">
        <f t="shared" si="23"/>
        <v>-2.9666579999126679</v>
      </c>
      <c r="L98" s="275">
        <f t="shared" si="23"/>
        <v>-2.9590675578900822</v>
      </c>
      <c r="M98" s="275">
        <f t="shared" si="23"/>
        <v>-2.9514240005908863</v>
      </c>
      <c r="N98" s="275">
        <f t="shared" si="23"/>
        <v>-2.9437267685341713</v>
      </c>
      <c r="O98" s="275">
        <f t="shared" si="23"/>
        <v>-2.9359752943537432</v>
      </c>
      <c r="P98" s="275">
        <f t="shared" si="23"/>
        <v>-2.9281690026587137</v>
      </c>
      <c r="Q98" s="275">
        <f t="shared" si="23"/>
        <v>-2.9203073098911227</v>
      </c>
      <c r="R98" s="275">
        <f t="shared" si="23"/>
        <v>-2.9123896241805189</v>
      </c>
      <c r="S98" s="275">
        <f t="shared" si="23"/>
        <v>-2.9044153451954209</v>
      </c>
      <c r="T98" s="275">
        <f t="shared" si="23"/>
        <v>-2.8963838639915838</v>
      </c>
      <c r="U98" s="275">
        <f t="shared" si="23"/>
        <v>-2.8882945628569847</v>
      </c>
      <c r="V98" s="275">
        <f t="shared" si="23"/>
        <v>-2.8801468151534557</v>
      </c>
      <c r="W98" s="275">
        <f t="shared" si="23"/>
        <v>-2.8719399851548628</v>
      </c>
      <c r="X98" s="275">
        <f t="shared" si="23"/>
        <v>-2.8636734278817575</v>
      </c>
      <c r="Y98" s="275">
        <f t="shared" si="23"/>
        <v>-2.8553464889324038</v>
      </c>
      <c r="Z98" s="275">
        <f t="shared" si="23"/>
        <v>-2.8469585043100891</v>
      </c>
      <c r="AA98" s="275">
        <f t="shared" si="23"/>
        <v>-2.8385088002466214</v>
      </c>
      <c r="AB98" s="275">
        <f t="shared" si="23"/>
        <v>-2.8299966930219189</v>
      </c>
      <c r="AC98" s="288">
        <f t="shared" si="23"/>
        <v>-2.8214214887795848</v>
      </c>
      <c r="AD98" s="369">
        <f t="shared" si="21"/>
        <v>-69.960129327206857</v>
      </c>
    </row>
    <row r="99" spans="1:30" s="53" customFormat="1" ht="12">
      <c r="A99" s="44"/>
      <c r="C99" s="319" t="s">
        <v>155</v>
      </c>
      <c r="D99" s="273"/>
      <c r="E99" s="236"/>
      <c r="F99" s="275">
        <f>F98*F97</f>
        <v>0</v>
      </c>
      <c r="G99" s="275">
        <f t="shared" ref="G99:AC99" si="24">G98*G97</f>
        <v>0</v>
      </c>
      <c r="H99" s="275">
        <f t="shared" si="24"/>
        <v>-33115.86243567909</v>
      </c>
      <c r="I99" s="275">
        <f t="shared" si="24"/>
        <v>-33855.066389936263</v>
      </c>
      <c r="J99" s="275">
        <f t="shared" si="24"/>
        <v>-34589.57469155021</v>
      </c>
      <c r="K99" s="275">
        <f t="shared" si="24"/>
        <v>-35319.338395204155</v>
      </c>
      <c r="L99" s="275">
        <f t="shared" si="24"/>
        <v>-36044.307872964964</v>
      </c>
      <c r="M99" s="275">
        <f t="shared" si="24"/>
        <v>-36764.4328023415</v>
      </c>
      <c r="N99" s="275">
        <f t="shared" si="24"/>
        <v>-37479.662154091136</v>
      </c>
      <c r="O99" s="275">
        <f t="shared" si="24"/>
        <v>-37662.36391637924</v>
      </c>
      <c r="P99" s="275">
        <f t="shared" si="24"/>
        <v>-37842.871376377021</v>
      </c>
      <c r="Q99" s="275">
        <f t="shared" si="24"/>
        <v>-38021.161174715162</v>
      </c>
      <c r="R99" s="275">
        <f t="shared" si="24"/>
        <v>-38197.20961928185</v>
      </c>
      <c r="S99" s="275">
        <f t="shared" si="24"/>
        <v>-38370.992679276787</v>
      </c>
      <c r="T99" s="275">
        <f t="shared" si="24"/>
        <v>-38542.485979137506</v>
      </c>
      <c r="U99" s="275">
        <f t="shared" si="24"/>
        <v>-38711.664792334275</v>
      </c>
      <c r="V99" s="275">
        <f t="shared" si="24"/>
        <v>-38878.504035030681</v>
      </c>
      <c r="W99" s="275">
        <f t="shared" si="24"/>
        <v>-39042.978259606156</v>
      </c>
      <c r="X99" s="275">
        <f t="shared" si="24"/>
        <v>-39205.061648037219</v>
      </c>
      <c r="Y99" s="275">
        <f t="shared" si="24"/>
        <v>-39364.728005133518</v>
      </c>
      <c r="Z99" s="275">
        <f t="shared" si="24"/>
        <v>-39521.950751625307</v>
      </c>
      <c r="AA99" s="275">
        <f t="shared" si="24"/>
        <v>-39676.702917098184</v>
      </c>
      <c r="AB99" s="275">
        <f t="shared" si="24"/>
        <v>-39828.957132771313</v>
      </c>
      <c r="AC99" s="288">
        <f t="shared" si="24"/>
        <v>-39978.685624115133</v>
      </c>
      <c r="AD99" s="369">
        <f t="shared" si="21"/>
        <v>-830014.56265268673</v>
      </c>
    </row>
    <row r="100" spans="1:30" s="53" customFormat="1" ht="12">
      <c r="A100" s="44"/>
      <c r="B100" s="70"/>
      <c r="C100" s="78" t="s">
        <v>491</v>
      </c>
      <c r="D100" s="273">
        <f>$D$95*(D63)</f>
        <v>3.0165463640823211</v>
      </c>
      <c r="E100" s="236"/>
      <c r="F100" s="275">
        <f>$D100*F97</f>
        <v>0</v>
      </c>
      <c r="G100" s="275">
        <f t="shared" ref="G100:AC100" si="25">$D100*G97</f>
        <v>0</v>
      </c>
      <c r="H100" s="275">
        <f t="shared" si="25"/>
        <v>33419.757086727339</v>
      </c>
      <c r="I100" s="275">
        <f t="shared" si="25"/>
        <v>34250.931661123424</v>
      </c>
      <c r="J100" s="275">
        <f t="shared" si="25"/>
        <v>35082.10623551951</v>
      </c>
      <c r="K100" s="275">
        <f t="shared" si="25"/>
        <v>35913.280809915603</v>
      </c>
      <c r="L100" s="275">
        <f t="shared" si="25"/>
        <v>36744.455384311681</v>
      </c>
      <c r="M100" s="275">
        <f t="shared" si="25"/>
        <v>37575.629958707781</v>
      </c>
      <c r="N100" s="275">
        <f t="shared" si="25"/>
        <v>38406.804533103867</v>
      </c>
      <c r="O100" s="275">
        <f t="shared" si="25"/>
        <v>38695.920620717108</v>
      </c>
      <c r="P100" s="275">
        <f t="shared" si="25"/>
        <v>38985.036708330357</v>
      </c>
      <c r="Q100" s="275">
        <f t="shared" si="25"/>
        <v>39274.152795943584</v>
      </c>
      <c r="R100" s="275">
        <f t="shared" si="25"/>
        <v>39563.268883556841</v>
      </c>
      <c r="S100" s="275">
        <f t="shared" si="25"/>
        <v>39852.384971170075</v>
      </c>
      <c r="T100" s="275">
        <f t="shared" si="25"/>
        <v>40141.501058783317</v>
      </c>
      <c r="U100" s="275">
        <f t="shared" si="25"/>
        <v>40430.617146396558</v>
      </c>
      <c r="V100" s="275">
        <f t="shared" si="25"/>
        <v>40719.7332340098</v>
      </c>
      <c r="W100" s="275">
        <f t="shared" si="25"/>
        <v>41008.849321623034</v>
      </c>
      <c r="X100" s="275">
        <f t="shared" si="25"/>
        <v>41297.965409236291</v>
      </c>
      <c r="Y100" s="275">
        <f t="shared" si="25"/>
        <v>41587.081496849525</v>
      </c>
      <c r="Z100" s="275">
        <f t="shared" si="25"/>
        <v>41876.197584462767</v>
      </c>
      <c r="AA100" s="275">
        <f t="shared" si="25"/>
        <v>42165.313672076009</v>
      </c>
      <c r="AB100" s="275">
        <f t="shared" si="25"/>
        <v>42454.429759689257</v>
      </c>
      <c r="AC100" s="288">
        <f t="shared" si="25"/>
        <v>42743.545847302499</v>
      </c>
      <c r="AD100" s="369">
        <f t="shared" si="21"/>
        <v>862188.96417955623</v>
      </c>
    </row>
    <row r="101" spans="1:30" s="53" customFormat="1" ht="12">
      <c r="A101" s="45"/>
      <c r="B101" s="45"/>
      <c r="C101" s="78"/>
      <c r="D101" s="273"/>
      <c r="E101" s="236"/>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88"/>
      <c r="AD101" s="369">
        <f t="shared" si="21"/>
        <v>0</v>
      </c>
    </row>
    <row r="102" spans="1:30" s="53" customFormat="1" ht="12">
      <c r="A102" s="45"/>
      <c r="B102" s="5" t="s">
        <v>277</v>
      </c>
      <c r="C102" s="78"/>
      <c r="D102" s="273"/>
      <c r="E102" s="236"/>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88"/>
      <c r="AD102" s="369">
        <f t="shared" si="21"/>
        <v>0</v>
      </c>
    </row>
    <row r="103" spans="1:30" s="53" customFormat="1" ht="12">
      <c r="A103" s="44"/>
      <c r="B103" s="5"/>
      <c r="C103" s="78" t="s">
        <v>427</v>
      </c>
      <c r="D103" s="273"/>
      <c r="E103" s="236"/>
      <c r="F103" s="45">
        <f>F17</f>
        <v>0</v>
      </c>
      <c r="G103" s="45">
        <f t="shared" ref="G103:AC103" si="26">G17</f>
        <v>0</v>
      </c>
      <c r="H103" s="45">
        <f t="shared" si="26"/>
        <v>638.39709813314516</v>
      </c>
      <c r="I103" s="45">
        <f t="shared" si="26"/>
        <v>654.27451564277897</v>
      </c>
      <c r="J103" s="45">
        <f t="shared" si="26"/>
        <v>670.15193315241288</v>
      </c>
      <c r="K103" s="45">
        <f t="shared" si="26"/>
        <v>686.0293506620468</v>
      </c>
      <c r="L103" s="45">
        <f t="shared" si="26"/>
        <v>701.90676817168048</v>
      </c>
      <c r="M103" s="45">
        <f t="shared" si="26"/>
        <v>717.7841856813144</v>
      </c>
      <c r="N103" s="45">
        <f t="shared" si="26"/>
        <v>733.66160319094843</v>
      </c>
      <c r="O103" s="45">
        <f t="shared" si="26"/>
        <v>739.18441028008795</v>
      </c>
      <c r="P103" s="45">
        <f t="shared" si="26"/>
        <v>744.70721736922769</v>
      </c>
      <c r="Q103" s="45">
        <f t="shared" si="26"/>
        <v>750.23002445836732</v>
      </c>
      <c r="R103" s="45">
        <f t="shared" si="26"/>
        <v>755.75283154750684</v>
      </c>
      <c r="S103" s="45">
        <f t="shared" si="26"/>
        <v>761.27563863664648</v>
      </c>
      <c r="T103" s="45">
        <f t="shared" si="26"/>
        <v>766.79844572578622</v>
      </c>
      <c r="U103" s="45">
        <f t="shared" si="26"/>
        <v>772.32125281492574</v>
      </c>
      <c r="V103" s="45">
        <f t="shared" si="26"/>
        <v>777.84405990406538</v>
      </c>
      <c r="W103" s="45">
        <f t="shared" si="26"/>
        <v>783.36686699320489</v>
      </c>
      <c r="X103" s="45">
        <f t="shared" si="26"/>
        <v>788.88967408234464</v>
      </c>
      <c r="Y103" s="45">
        <f t="shared" si="26"/>
        <v>794.41248117148427</v>
      </c>
      <c r="Z103" s="45">
        <f t="shared" si="26"/>
        <v>799.93528826062379</v>
      </c>
      <c r="AA103" s="45">
        <f t="shared" si="26"/>
        <v>805.45809534976343</v>
      </c>
      <c r="AB103" s="45">
        <f t="shared" si="26"/>
        <v>810.98090243890317</v>
      </c>
      <c r="AC103" s="283">
        <f t="shared" si="26"/>
        <v>816.50370952804269</v>
      </c>
      <c r="AD103" s="361">
        <f t="shared" si="21"/>
        <v>16469.866353195306</v>
      </c>
    </row>
    <row r="104" spans="1:30" s="53" customFormat="1" ht="12">
      <c r="A104" s="44"/>
      <c r="B104" s="5"/>
      <c r="C104" s="78" t="s">
        <v>443</v>
      </c>
      <c r="D104" s="273"/>
      <c r="E104" s="236"/>
      <c r="F104" s="275">
        <f>F82*$D$95</f>
        <v>-1.1772931527040575</v>
      </c>
      <c r="G104" s="275">
        <f t="shared" ref="G104:AC104" si="27">G82*$D$95</f>
        <v>-1.1699601614362911</v>
      </c>
      <c r="H104" s="275">
        <f t="shared" si="27"/>
        <v>-1.1625767386976547</v>
      </c>
      <c r="I104" s="275">
        <f t="shared" si="27"/>
        <v>-1.1551423624414778</v>
      </c>
      <c r="J104" s="275">
        <f t="shared" si="27"/>
        <v>-1.1476565033907811</v>
      </c>
      <c r="K104" s="275">
        <f t="shared" si="27"/>
        <v>-1.1401186249126676</v>
      </c>
      <c r="L104" s="275">
        <f t="shared" si="27"/>
        <v>-1.1325281828900819</v>
      </c>
      <c r="M104" s="275">
        <f t="shared" si="27"/>
        <v>-1.124884625590886</v>
      </c>
      <c r="N104" s="275">
        <f t="shared" si="27"/>
        <v>-1.117187393534171</v>
      </c>
      <c r="O104" s="275">
        <f t="shared" si="27"/>
        <v>-1.1094359193537429</v>
      </c>
      <c r="P104" s="275">
        <f t="shared" si="27"/>
        <v>-1.1016296276587134</v>
      </c>
      <c r="Q104" s="275">
        <f t="shared" si="27"/>
        <v>-1.0937679348911225</v>
      </c>
      <c r="R104" s="275">
        <f t="shared" si="27"/>
        <v>-1.0858502491805186</v>
      </c>
      <c r="S104" s="275">
        <f t="shared" si="27"/>
        <v>-1.0778759701954206</v>
      </c>
      <c r="T104" s="275">
        <f t="shared" si="27"/>
        <v>-1.0698444889915835</v>
      </c>
      <c r="U104" s="275">
        <f t="shared" si="27"/>
        <v>-1.0617551878569844</v>
      </c>
      <c r="V104" s="275">
        <f t="shared" si="27"/>
        <v>-1.0536074401534554</v>
      </c>
      <c r="W104" s="275">
        <f t="shared" si="27"/>
        <v>-1.0454006101548625</v>
      </c>
      <c r="X104" s="275">
        <f t="shared" si="27"/>
        <v>-1.0371340528817572</v>
      </c>
      <c r="Y104" s="275">
        <f t="shared" si="27"/>
        <v>-1.0288071139324035</v>
      </c>
      <c r="Z104" s="275">
        <f t="shared" si="27"/>
        <v>-1.0204191293100888</v>
      </c>
      <c r="AA104" s="275">
        <f t="shared" si="27"/>
        <v>-1.0119694252466211</v>
      </c>
      <c r="AB104" s="275">
        <f t="shared" si="27"/>
        <v>-1.0034573180219186</v>
      </c>
      <c r="AC104" s="288">
        <f t="shared" si="27"/>
        <v>-0.99488211377958446</v>
      </c>
      <c r="AD104" s="369">
        <f t="shared" si="21"/>
        <v>-26.12318432720685</v>
      </c>
    </row>
    <row r="105" spans="1:30" s="53" customFormat="1" ht="12">
      <c r="A105" s="44"/>
      <c r="B105" s="5"/>
      <c r="C105" s="319" t="s">
        <v>155</v>
      </c>
      <c r="D105" s="273"/>
      <c r="E105" s="236"/>
      <c r="F105" s="275">
        <f>F104*F103</f>
        <v>0</v>
      </c>
      <c r="G105" s="275">
        <f t="shared" ref="G105:AC105" si="28">G104*G103</f>
        <v>0</v>
      </c>
      <c r="H105" s="275">
        <f t="shared" si="28"/>
        <v>-742.1856163416785</v>
      </c>
      <c r="I105" s="275">
        <f t="shared" si="28"/>
        <v>-755.78020968485339</v>
      </c>
      <c r="J105" s="275">
        <f t="shared" si="28"/>
        <v>-769.10422434227064</v>
      </c>
      <c r="K105" s="275">
        <f t="shared" si="28"/>
        <v>-782.15483992654299</v>
      </c>
      <c r="L105" s="275">
        <f t="shared" si="28"/>
        <v>-794.92919671572326</v>
      </c>
      <c r="M105" s="275">
        <f t="shared" si="28"/>
        <v>-807.42439496518432</v>
      </c>
      <c r="N105" s="275">
        <f t="shared" si="28"/>
        <v>-819.63749420499687</v>
      </c>
      <c r="O105" s="275">
        <f t="shared" si="28"/>
        <v>-820.07773579104366</v>
      </c>
      <c r="P105" s="275">
        <f t="shared" si="28"/>
        <v>-820.39153458521889</v>
      </c>
      <c r="Q105" s="275">
        <f t="shared" si="28"/>
        <v>-820.57754454514475</v>
      </c>
      <c r="R105" s="275">
        <f t="shared" si="28"/>
        <v>-820.63440045474283</v>
      </c>
      <c r="S105" s="275">
        <f t="shared" si="28"/>
        <v>-820.56071758161374</v>
      </c>
      <c r="T105" s="275">
        <f t="shared" si="28"/>
        <v>-820.35509132704419</v>
      </c>
      <c r="U105" s="275">
        <f t="shared" si="28"/>
        <v>-820.01609686845302</v>
      </c>
      <c r="V105" s="275">
        <f t="shared" si="28"/>
        <v>-819.54228879409334</v>
      </c>
      <c r="W105" s="275">
        <f t="shared" si="28"/>
        <v>-818.93220072979943</v>
      </c>
      <c r="X105" s="275">
        <f t="shared" si="28"/>
        <v>-818.18434495759061</v>
      </c>
      <c r="Y105" s="275">
        <f t="shared" si="28"/>
        <v>-817.29721202591463</v>
      </c>
      <c r="Z105" s="275">
        <f t="shared" si="28"/>
        <v>-816.26927035132064</v>
      </c>
      <c r="AA105" s="275">
        <f t="shared" si="28"/>
        <v>-815.0989658113383</v>
      </c>
      <c r="AB105" s="275">
        <f t="shared" si="28"/>
        <v>-813.78472132833701</v>
      </c>
      <c r="AC105" s="288">
        <f t="shared" si="28"/>
        <v>-812.32493644413091</v>
      </c>
      <c r="AD105" s="369">
        <f t="shared" si="21"/>
        <v>-17745.263037777037</v>
      </c>
    </row>
    <row r="106" spans="1:30" s="53" customFormat="1" ht="12">
      <c r="A106" s="44"/>
      <c r="B106" s="5"/>
      <c r="C106" s="78" t="s">
        <v>444</v>
      </c>
      <c r="D106" s="273">
        <f>D90</f>
        <v>5.9830927281646424</v>
      </c>
      <c r="E106" s="236"/>
      <c r="F106" s="275">
        <f>$D106*F103</f>
        <v>0</v>
      </c>
      <c r="G106" s="275">
        <f t="shared" ref="G106:AC106" si="29">$D106*G103</f>
        <v>0</v>
      </c>
      <c r="H106" s="275">
        <f t="shared" si="29"/>
        <v>3819.5890355218303</v>
      </c>
      <c r="I106" s="275">
        <f t="shared" si="29"/>
        <v>3914.5850967657543</v>
      </c>
      <c r="J106" s="275">
        <f t="shared" si="29"/>
        <v>4009.5811580096793</v>
      </c>
      <c r="K106" s="275">
        <f t="shared" si="29"/>
        <v>4104.5772192536033</v>
      </c>
      <c r="L106" s="275">
        <f t="shared" si="29"/>
        <v>4199.5732804975269</v>
      </c>
      <c r="M106" s="275">
        <f t="shared" si="29"/>
        <v>4294.5693417414514</v>
      </c>
      <c r="N106" s="275">
        <f t="shared" si="29"/>
        <v>4389.5654029853767</v>
      </c>
      <c r="O106" s="275">
        <f t="shared" si="29"/>
        <v>4422.6088699194634</v>
      </c>
      <c r="P106" s="275">
        <f t="shared" si="29"/>
        <v>4455.6523368535518</v>
      </c>
      <c r="Q106" s="275">
        <f t="shared" si="29"/>
        <v>4488.6958037876393</v>
      </c>
      <c r="R106" s="275">
        <f t="shared" si="29"/>
        <v>4521.7392707217259</v>
      </c>
      <c r="S106" s="275">
        <f t="shared" si="29"/>
        <v>4554.7827376558134</v>
      </c>
      <c r="T106" s="275">
        <f t="shared" si="29"/>
        <v>4587.8262045899019</v>
      </c>
      <c r="U106" s="275">
        <f t="shared" si="29"/>
        <v>4620.8696715239885</v>
      </c>
      <c r="V106" s="275">
        <f t="shared" si="29"/>
        <v>4653.913138458076</v>
      </c>
      <c r="W106" s="275">
        <f t="shared" si="29"/>
        <v>4686.9566053921626</v>
      </c>
      <c r="X106" s="275">
        <f t="shared" si="29"/>
        <v>4720.000072326251</v>
      </c>
      <c r="Y106" s="275">
        <f t="shared" si="29"/>
        <v>4753.0435392603385</v>
      </c>
      <c r="Z106" s="275">
        <f t="shared" si="29"/>
        <v>4786.0870061944252</v>
      </c>
      <c r="AA106" s="275">
        <f t="shared" si="29"/>
        <v>4819.1304731285127</v>
      </c>
      <c r="AB106" s="275">
        <f t="shared" si="29"/>
        <v>4852.1739400626011</v>
      </c>
      <c r="AC106" s="288">
        <f t="shared" si="29"/>
        <v>4885.2174069966877</v>
      </c>
      <c r="AD106" s="369">
        <f t="shared" si="21"/>
        <v>98540.737611646357</v>
      </c>
    </row>
    <row r="107" spans="1:30" s="53" customFormat="1" ht="12">
      <c r="A107" s="45"/>
      <c r="B107" s="5"/>
      <c r="C107" s="78"/>
      <c r="D107" s="273"/>
      <c r="E107" s="236"/>
      <c r="F107" s="45"/>
      <c r="G107" s="57"/>
      <c r="AC107" s="283"/>
      <c r="AD107" s="361">
        <f t="shared" ref="AD107:AD175" si="30">SUM(F107:AC107)</f>
        <v>0</v>
      </c>
    </row>
    <row r="108" spans="1:30" s="53" customFormat="1" ht="12">
      <c r="A108" s="45"/>
      <c r="B108" s="55"/>
      <c r="C108" s="5" t="s">
        <v>503</v>
      </c>
      <c r="D108" s="273"/>
      <c r="E108" s="239"/>
      <c r="F108" s="83">
        <f>F99+F100+F105+F106</f>
        <v>0</v>
      </c>
      <c r="G108" s="83">
        <f t="shared" ref="G108:AC108" si="31">G99+G100+G105+G106</f>
        <v>0</v>
      </c>
      <c r="H108" s="83">
        <f t="shared" si="31"/>
        <v>3381.2980702284012</v>
      </c>
      <c r="I108" s="83">
        <f t="shared" si="31"/>
        <v>3554.6701582680626</v>
      </c>
      <c r="J108" s="83">
        <f t="shared" si="31"/>
        <v>3733.0084776367089</v>
      </c>
      <c r="K108" s="83">
        <f t="shared" si="31"/>
        <v>3916.3647940385081</v>
      </c>
      <c r="L108" s="83">
        <f t="shared" si="31"/>
        <v>4104.7915951285204</v>
      </c>
      <c r="M108" s="83">
        <f t="shared" si="31"/>
        <v>4298.3421031425478</v>
      </c>
      <c r="N108" s="83">
        <f t="shared" si="31"/>
        <v>4497.0702877931099</v>
      </c>
      <c r="O108" s="83">
        <f t="shared" si="31"/>
        <v>4636.0878384662883</v>
      </c>
      <c r="P108" s="83">
        <f t="shared" si="31"/>
        <v>4777.4261342216687</v>
      </c>
      <c r="Q108" s="83">
        <f t="shared" si="31"/>
        <v>4921.1098804709172</v>
      </c>
      <c r="R108" s="83">
        <f t="shared" si="31"/>
        <v>5067.1641345419739</v>
      </c>
      <c r="S108" s="83">
        <f t="shared" si="31"/>
        <v>5215.6143119674871</v>
      </c>
      <c r="T108" s="83">
        <f t="shared" si="31"/>
        <v>5366.4861929086692</v>
      </c>
      <c r="U108" s="83">
        <f t="shared" si="31"/>
        <v>5519.8059287178185</v>
      </c>
      <c r="V108" s="83">
        <f t="shared" si="31"/>
        <v>5675.6000486431021</v>
      </c>
      <c r="W108" s="83">
        <f t="shared" si="31"/>
        <v>5833.8954666792415</v>
      </c>
      <c r="X108" s="83">
        <f t="shared" si="31"/>
        <v>5994.7194885677318</v>
      </c>
      <c r="Y108" s="83">
        <f t="shared" si="31"/>
        <v>6158.0998189504307</v>
      </c>
      <c r="Z108" s="83">
        <f t="shared" si="31"/>
        <v>6324.0645686805638</v>
      </c>
      <c r="AA108" s="83">
        <f t="shared" si="31"/>
        <v>6492.6422622949985</v>
      </c>
      <c r="AB108" s="83">
        <f t="shared" si="31"/>
        <v>6663.861845652209</v>
      </c>
      <c r="AC108" s="292">
        <f t="shared" si="31"/>
        <v>6837.7526937399234</v>
      </c>
      <c r="AD108" s="378">
        <f t="shared" si="30"/>
        <v>112969.8761007389</v>
      </c>
    </row>
    <row r="109" spans="1:30" s="53" customFormat="1" ht="12">
      <c r="A109" s="45"/>
      <c r="B109" s="45"/>
      <c r="D109" s="228"/>
      <c r="E109" s="236"/>
      <c r="F109" s="45"/>
      <c r="G109" s="57"/>
      <c r="AC109" s="283"/>
      <c r="AD109" s="361">
        <f t="shared" si="30"/>
        <v>0</v>
      </c>
    </row>
    <row r="110" spans="1:30" s="53" customFormat="1" ht="12">
      <c r="A110" s="45"/>
      <c r="B110" s="5" t="s">
        <v>524</v>
      </c>
      <c r="C110" s="5"/>
      <c r="D110" s="228"/>
      <c r="E110" s="236"/>
      <c r="G110" s="57"/>
      <c r="AC110" s="283"/>
      <c r="AD110" s="361">
        <f t="shared" si="30"/>
        <v>0</v>
      </c>
    </row>
    <row r="111" spans="1:30" s="53" customFormat="1" ht="12">
      <c r="A111" s="45"/>
      <c r="B111" s="55" t="s">
        <v>525</v>
      </c>
      <c r="C111" s="244" t="s">
        <v>526</v>
      </c>
      <c r="D111" s="307">
        <v>5.3999999999999999E-2</v>
      </c>
      <c r="E111" s="236"/>
      <c r="G111" s="57"/>
      <c r="AC111" s="283"/>
      <c r="AD111" s="361">
        <f t="shared" si="30"/>
        <v>0</v>
      </c>
    </row>
    <row r="112" spans="1:30" s="53" customFormat="1" ht="12">
      <c r="A112" s="45"/>
      <c r="C112" s="70" t="s">
        <v>522</v>
      </c>
      <c r="D112" s="228"/>
      <c r="E112" s="236"/>
      <c r="F112" s="275">
        <f>-F23*$D$111</f>
        <v>0</v>
      </c>
      <c r="G112" s="275">
        <f t="shared" ref="G112:AC112" si="32">-G23*$D$111</f>
        <v>0</v>
      </c>
      <c r="H112" s="275">
        <f t="shared" si="32"/>
        <v>6169.1118171255102</v>
      </c>
      <c r="I112" s="275">
        <f t="shared" si="32"/>
        <v>6322.5422826939639</v>
      </c>
      <c r="J112" s="275">
        <f t="shared" si="32"/>
        <v>6475.9727482624157</v>
      </c>
      <c r="K112" s="275">
        <f t="shared" si="32"/>
        <v>6629.4032138308694</v>
      </c>
      <c r="L112" s="275">
        <f t="shared" si="32"/>
        <v>6782.8336793993194</v>
      </c>
      <c r="M112" s="275">
        <f t="shared" si="32"/>
        <v>6936.2641449677758</v>
      </c>
      <c r="N112" s="275">
        <f t="shared" si="32"/>
        <v>7089.6946105362276</v>
      </c>
      <c r="O112" s="275">
        <f t="shared" si="32"/>
        <v>7143.06392342463</v>
      </c>
      <c r="P112" s="275">
        <f t="shared" si="32"/>
        <v>7196.4332363130334</v>
      </c>
      <c r="Q112" s="275">
        <f t="shared" si="32"/>
        <v>7249.8025492014331</v>
      </c>
      <c r="R112" s="275">
        <f t="shared" si="32"/>
        <v>7303.1718620898364</v>
      </c>
      <c r="S112" s="275">
        <f t="shared" si="32"/>
        <v>7356.5411749782388</v>
      </c>
      <c r="T112" s="275">
        <f t="shared" si="32"/>
        <v>7409.9104878666412</v>
      </c>
      <c r="U112" s="275">
        <f t="shared" si="32"/>
        <v>7463.2798007550418</v>
      </c>
      <c r="V112" s="275">
        <f t="shared" si="32"/>
        <v>7516.6491136434443</v>
      </c>
      <c r="W112" s="275">
        <f t="shared" si="32"/>
        <v>7570.0184265318467</v>
      </c>
      <c r="X112" s="275">
        <f t="shared" si="32"/>
        <v>7623.3877394202491</v>
      </c>
      <c r="Y112" s="275">
        <f t="shared" si="32"/>
        <v>7676.7570523086497</v>
      </c>
      <c r="Z112" s="275">
        <f t="shared" si="32"/>
        <v>7730.1263651970521</v>
      </c>
      <c r="AA112" s="275">
        <f t="shared" si="32"/>
        <v>7783.4956780854554</v>
      </c>
      <c r="AB112" s="275">
        <f t="shared" si="32"/>
        <v>7836.8649909738579</v>
      </c>
      <c r="AC112" s="288">
        <f t="shared" si="32"/>
        <v>7890.2343038622621</v>
      </c>
      <c r="AD112" s="369">
        <f t="shared" si="30"/>
        <v>159155.55920146775</v>
      </c>
    </row>
    <row r="113" spans="1:30" s="53" customFormat="1" ht="12">
      <c r="A113" s="45"/>
      <c r="B113" s="45"/>
      <c r="C113" s="244" t="s">
        <v>531</v>
      </c>
      <c r="D113" s="228">
        <v>3.2</v>
      </c>
      <c r="E113" s="236"/>
      <c r="G113" s="57"/>
      <c r="AC113" s="283"/>
      <c r="AD113" s="361">
        <f t="shared" si="30"/>
        <v>0</v>
      </c>
    </row>
    <row r="114" spans="1:30" s="53" customFormat="1" ht="12">
      <c r="A114" s="45"/>
      <c r="B114" s="45"/>
      <c r="C114" s="243" t="s">
        <v>400</v>
      </c>
      <c r="D114" s="273">
        <v>13.91</v>
      </c>
      <c r="E114" s="236"/>
      <c r="G114" s="57"/>
      <c r="AC114" s="283"/>
      <c r="AD114" s="361">
        <f t="shared" si="30"/>
        <v>0</v>
      </c>
    </row>
    <row r="115" spans="1:30" s="53" customFormat="1" ht="12">
      <c r="A115" s="45"/>
      <c r="B115" s="45"/>
      <c r="C115" s="70" t="s">
        <v>581</v>
      </c>
      <c r="D115" s="228"/>
      <c r="E115" s="236"/>
      <c r="F115" s="308">
        <f>($D$113/3600)*$D$114*F30</f>
        <v>0</v>
      </c>
      <c r="G115" s="308">
        <f t="shared" ref="G115:AC115" si="33">($D$113/3600)*$D$114*G30</f>
        <v>0</v>
      </c>
      <c r="H115" s="308">
        <f t="shared" si="33"/>
        <v>16123.774851845503</v>
      </c>
      <c r="I115" s="308">
        <f t="shared" si="33"/>
        <v>16524.785298012499</v>
      </c>
      <c r="J115" s="308">
        <f t="shared" si="33"/>
        <v>16925.795744179493</v>
      </c>
      <c r="K115" s="308">
        <f t="shared" si="33"/>
        <v>17326.806190346484</v>
      </c>
      <c r="L115" s="308">
        <f t="shared" si="33"/>
        <v>17727.816636513471</v>
      </c>
      <c r="M115" s="308">
        <f t="shared" si="33"/>
        <v>18128.827082680469</v>
      </c>
      <c r="N115" s="308">
        <f t="shared" si="33"/>
        <v>18529.837528847464</v>
      </c>
      <c r="O115" s="308">
        <f t="shared" si="33"/>
        <v>18669.325158593692</v>
      </c>
      <c r="P115" s="308">
        <f t="shared" si="33"/>
        <v>18808.812788339921</v>
      </c>
      <c r="Q115" s="308">
        <f t="shared" si="33"/>
        <v>18948.30041808615</v>
      </c>
      <c r="R115" s="308">
        <f t="shared" si="33"/>
        <v>19087.788047832379</v>
      </c>
      <c r="S115" s="308">
        <f t="shared" si="33"/>
        <v>19227.275677578611</v>
      </c>
      <c r="T115" s="308">
        <f t="shared" si="33"/>
        <v>19366.76330732484</v>
      </c>
      <c r="U115" s="308">
        <f t="shared" si="33"/>
        <v>19506.250937071069</v>
      </c>
      <c r="V115" s="308">
        <f t="shared" si="33"/>
        <v>19645.738566817297</v>
      </c>
      <c r="W115" s="308">
        <f t="shared" si="33"/>
        <v>19785.226196563523</v>
      </c>
      <c r="X115" s="308">
        <f t="shared" si="33"/>
        <v>19924.713826309751</v>
      </c>
      <c r="Y115" s="308">
        <f t="shared" si="33"/>
        <v>20064.201456055987</v>
      </c>
      <c r="Z115" s="308">
        <f t="shared" si="33"/>
        <v>20203.689085802209</v>
      </c>
      <c r="AA115" s="308">
        <f t="shared" si="33"/>
        <v>20343.176715548445</v>
      </c>
      <c r="AB115" s="308">
        <f t="shared" si="33"/>
        <v>20482.664345294677</v>
      </c>
      <c r="AC115" s="411">
        <f t="shared" si="33"/>
        <v>20622.15197504091</v>
      </c>
      <c r="AD115" s="379">
        <f t="shared" si="30"/>
        <v>415973.7218346849</v>
      </c>
    </row>
    <row r="116" spans="1:30" s="53" customFormat="1" ht="12">
      <c r="A116" s="45"/>
      <c r="B116" s="55" t="s">
        <v>404</v>
      </c>
      <c r="C116" s="244" t="s">
        <v>532</v>
      </c>
      <c r="D116" s="228">
        <v>5</v>
      </c>
      <c r="E116" s="236"/>
      <c r="G116" s="57"/>
      <c r="AC116" s="283"/>
      <c r="AD116" s="361">
        <f t="shared" si="30"/>
        <v>0</v>
      </c>
    </row>
    <row r="117" spans="1:30" s="53" customFormat="1" ht="12">
      <c r="A117" s="45"/>
      <c r="B117" s="45"/>
      <c r="C117" s="243" t="s">
        <v>400</v>
      </c>
      <c r="D117" s="273">
        <v>13.91</v>
      </c>
      <c r="E117" s="236"/>
      <c r="F117" s="45"/>
      <c r="G117" s="57"/>
      <c r="AC117" s="283"/>
      <c r="AD117" s="361">
        <f t="shared" si="30"/>
        <v>0</v>
      </c>
    </row>
    <row r="118" spans="1:30" s="53" customFormat="1" ht="12">
      <c r="A118" s="45"/>
      <c r="B118" s="45"/>
      <c r="C118" s="243" t="s">
        <v>538</v>
      </c>
      <c r="D118" s="344">
        <f>'Mode Operating Assumptions'!C45</f>
        <v>8.4250000000000002E-3</v>
      </c>
      <c r="E118" s="236"/>
      <c r="F118" s="45"/>
      <c r="G118" s="57"/>
      <c r="AC118" s="283"/>
      <c r="AD118" s="361">
        <f t="shared" si="30"/>
        <v>0</v>
      </c>
    </row>
    <row r="119" spans="1:30" s="53" customFormat="1" ht="12">
      <c r="A119" s="45"/>
      <c r="B119" s="45"/>
      <c r="C119" s="70" t="s">
        <v>533</v>
      </c>
      <c r="D119" s="228"/>
      <c r="E119" s="236"/>
      <c r="F119" s="275">
        <f>-(($D$116/3600*$D$117)+$D$118)*F28</f>
        <v>0</v>
      </c>
      <c r="G119" s="275">
        <f>-(($D$116/3600*$D$117)+$D$118)*G28</f>
        <v>-35517.894394265393</v>
      </c>
      <c r="H119" s="275">
        <f>-(($D$116/3600*$D$117)+$D$118)*H28</f>
        <v>0</v>
      </c>
      <c r="I119" s="275">
        <f>-(($D$116/3600*$D$117)+$D$118)*I28</f>
        <v>0</v>
      </c>
      <c r="J119" s="45">
        <f>-(($D$116/3600*$D$117)+$D$118)*J28</f>
        <v>0</v>
      </c>
      <c r="AC119" s="283"/>
      <c r="AD119" s="361">
        <f t="shared" si="30"/>
        <v>-35517.894394265393</v>
      </c>
    </row>
    <row r="120" spans="1:30" s="53" customFormat="1" ht="12">
      <c r="A120" s="45"/>
      <c r="B120" s="45"/>
      <c r="C120" s="5"/>
      <c r="D120" s="228"/>
      <c r="E120" s="236"/>
      <c r="F120" s="45"/>
      <c r="G120" s="57"/>
      <c r="AC120" s="283"/>
      <c r="AD120" s="361">
        <f t="shared" si="30"/>
        <v>0</v>
      </c>
    </row>
    <row r="121" spans="1:30" s="53" customFormat="1" ht="12">
      <c r="A121" s="45"/>
      <c r="B121" s="45"/>
      <c r="C121" s="5" t="s">
        <v>534</v>
      </c>
      <c r="D121" s="228"/>
      <c r="E121" s="236"/>
      <c r="F121" s="309">
        <f>F112+F115+F119</f>
        <v>0</v>
      </c>
      <c r="G121" s="309">
        <f t="shared" ref="G121:AC121" si="34">G112+G115+G119</f>
        <v>-35517.894394265393</v>
      </c>
      <c r="H121" s="309">
        <f t="shared" si="34"/>
        <v>22292.886668971012</v>
      </c>
      <c r="I121" s="309">
        <f t="shared" si="34"/>
        <v>22847.327580706464</v>
      </c>
      <c r="J121" s="309">
        <f t="shared" si="34"/>
        <v>23401.768492441908</v>
      </c>
      <c r="K121" s="309">
        <f t="shared" si="34"/>
        <v>23956.209404177353</v>
      </c>
      <c r="L121" s="309">
        <f t="shared" si="34"/>
        <v>24510.65031591279</v>
      </c>
      <c r="M121" s="309">
        <f t="shared" si="34"/>
        <v>25065.091227648245</v>
      </c>
      <c r="N121" s="309">
        <f t="shared" si="34"/>
        <v>25619.532139383693</v>
      </c>
      <c r="O121" s="309">
        <f t="shared" si="34"/>
        <v>25812.389082018322</v>
      </c>
      <c r="P121" s="309">
        <f t="shared" si="34"/>
        <v>26005.246024652955</v>
      </c>
      <c r="Q121" s="309">
        <f t="shared" si="34"/>
        <v>26198.102967287581</v>
      </c>
      <c r="R121" s="309">
        <f t="shared" si="34"/>
        <v>26390.959909922214</v>
      </c>
      <c r="S121" s="309">
        <f t="shared" si="34"/>
        <v>26583.816852556851</v>
      </c>
      <c r="T121" s="309">
        <f t="shared" si="34"/>
        <v>26776.67379519148</v>
      </c>
      <c r="U121" s="309">
        <f t="shared" si="34"/>
        <v>26969.53073782611</v>
      </c>
      <c r="V121" s="309">
        <f t="shared" si="34"/>
        <v>27162.387680460743</v>
      </c>
      <c r="W121" s="309">
        <f t="shared" si="34"/>
        <v>27355.244623095368</v>
      </c>
      <c r="X121" s="309">
        <f t="shared" si="34"/>
        <v>27548.101565730001</v>
      </c>
      <c r="Y121" s="309">
        <f t="shared" si="34"/>
        <v>27740.958508364638</v>
      </c>
      <c r="Z121" s="309">
        <f t="shared" si="34"/>
        <v>27933.81545099926</v>
      </c>
      <c r="AA121" s="309">
        <f t="shared" si="34"/>
        <v>28126.6723936339</v>
      </c>
      <c r="AB121" s="309">
        <f t="shared" si="34"/>
        <v>28319.529336268533</v>
      </c>
      <c r="AC121" s="340">
        <f t="shared" si="34"/>
        <v>28512.38627890317</v>
      </c>
      <c r="AD121" s="370">
        <f t="shared" si="30"/>
        <v>539611.38664188725</v>
      </c>
    </row>
    <row r="122" spans="1:30" s="53" customFormat="1" ht="12">
      <c r="A122" s="45"/>
      <c r="B122" s="45"/>
      <c r="C122" s="5"/>
      <c r="D122" s="228"/>
      <c r="E122" s="236"/>
      <c r="F122" s="45"/>
      <c r="G122" s="57"/>
      <c r="AC122" s="283"/>
      <c r="AD122" s="361">
        <f t="shared" si="30"/>
        <v>0</v>
      </c>
    </row>
    <row r="123" spans="1:30" s="53" customFormat="1" ht="12">
      <c r="A123" s="45"/>
      <c r="B123" s="55" t="s">
        <v>518</v>
      </c>
      <c r="C123" s="5"/>
      <c r="D123" s="228"/>
      <c r="E123" s="236"/>
      <c r="F123" s="252">
        <f>F24</f>
        <v>0</v>
      </c>
      <c r="G123" s="252">
        <f t="shared" ref="G123:AC123" si="35">G24</f>
        <v>0</v>
      </c>
      <c r="H123" s="252">
        <f t="shared" si="35"/>
        <v>19678.479250813878</v>
      </c>
      <c r="I123" s="252">
        <f t="shared" si="35"/>
        <v>19723.391389477045</v>
      </c>
      <c r="J123" s="252">
        <f t="shared" si="35"/>
        <v>19766.366467652664</v>
      </c>
      <c r="K123" s="252">
        <f t="shared" si="35"/>
        <v>19807.527158029112</v>
      </c>
      <c r="L123" s="252">
        <f t="shared" si="35"/>
        <v>19846.985989069351</v>
      </c>
      <c r="M123" s="252">
        <f t="shared" si="35"/>
        <v>19884.846372348486</v>
      </c>
      <c r="N123" s="252">
        <f t="shared" si="35"/>
        <v>19921.203507519698</v>
      </c>
      <c r="O123" s="252">
        <f t="shared" si="35"/>
        <v>20060.536342107593</v>
      </c>
      <c r="P123" s="252">
        <f t="shared" si="35"/>
        <v>20199.721688248203</v>
      </c>
      <c r="Q123" s="252">
        <f t="shared" si="35"/>
        <v>20338.759779999793</v>
      </c>
      <c r="R123" s="252">
        <f t="shared" si="35"/>
        <v>20477.650850925667</v>
      </c>
      <c r="S123" s="252">
        <f t="shared" si="35"/>
        <v>20616.395134095401</v>
      </c>
      <c r="T123" s="252">
        <f t="shared" si="35"/>
        <v>20754.992862086212</v>
      </c>
      <c r="U123" s="252">
        <f t="shared" si="35"/>
        <v>20893.444266984228</v>
      </c>
      <c r="V123" s="252">
        <f t="shared" si="35"/>
        <v>21031.749580385807</v>
      </c>
      <c r="W123" s="252">
        <f t="shared" si="35"/>
        <v>21169.909033398792</v>
      </c>
      <c r="X123" s="252">
        <f t="shared" si="35"/>
        <v>21307.922856643821</v>
      </c>
      <c r="Y123" s="252">
        <f t="shared" si="35"/>
        <v>21445.791280255617</v>
      </c>
      <c r="Z123" s="252">
        <f t="shared" si="35"/>
        <v>21583.514533884256</v>
      </c>
      <c r="AA123" s="252">
        <f t="shared" si="35"/>
        <v>21721.092846696432</v>
      </c>
      <c r="AB123" s="252">
        <f t="shared" si="35"/>
        <v>21858.526447376753</v>
      </c>
      <c r="AC123" s="286">
        <f t="shared" si="35"/>
        <v>21995.815564128992</v>
      </c>
      <c r="AD123" s="371">
        <f t="shared" si="30"/>
        <v>454084.62320212775</v>
      </c>
    </row>
    <row r="124" spans="1:30" s="5" customFormat="1" ht="12">
      <c r="A124" s="58"/>
      <c r="B124" s="58"/>
      <c r="C124" s="5" t="s">
        <v>612</v>
      </c>
      <c r="D124" s="231"/>
      <c r="E124" s="239"/>
      <c r="F124" s="83">
        <f>F123</f>
        <v>0</v>
      </c>
      <c r="G124" s="83">
        <f t="shared" ref="G124:AC124" si="36">G123</f>
        <v>0</v>
      </c>
      <c r="H124" s="83">
        <f t="shared" si="36"/>
        <v>19678.479250813878</v>
      </c>
      <c r="I124" s="83">
        <f>I123</f>
        <v>19723.391389477045</v>
      </c>
      <c r="J124" s="83">
        <f t="shared" si="36"/>
        <v>19766.366467652664</v>
      </c>
      <c r="K124" s="83">
        <f t="shared" si="36"/>
        <v>19807.527158029112</v>
      </c>
      <c r="L124" s="83">
        <f t="shared" si="36"/>
        <v>19846.985989069351</v>
      </c>
      <c r="M124" s="83">
        <f t="shared" si="36"/>
        <v>19884.846372348486</v>
      </c>
      <c r="N124" s="83">
        <f t="shared" si="36"/>
        <v>19921.203507519698</v>
      </c>
      <c r="O124" s="83">
        <f t="shared" si="36"/>
        <v>20060.536342107593</v>
      </c>
      <c r="P124" s="83">
        <f t="shared" si="36"/>
        <v>20199.721688248203</v>
      </c>
      <c r="Q124" s="83">
        <f t="shared" si="36"/>
        <v>20338.759779999793</v>
      </c>
      <c r="R124" s="83">
        <f t="shared" si="36"/>
        <v>20477.650850925667</v>
      </c>
      <c r="S124" s="83">
        <f t="shared" si="36"/>
        <v>20616.395134095401</v>
      </c>
      <c r="T124" s="83">
        <f t="shared" si="36"/>
        <v>20754.992862086212</v>
      </c>
      <c r="U124" s="83">
        <f t="shared" si="36"/>
        <v>20893.444266984228</v>
      </c>
      <c r="V124" s="83">
        <f t="shared" si="36"/>
        <v>21031.749580385807</v>
      </c>
      <c r="W124" s="83">
        <f t="shared" si="36"/>
        <v>21169.909033398792</v>
      </c>
      <c r="X124" s="83">
        <f t="shared" si="36"/>
        <v>21307.922856643821</v>
      </c>
      <c r="Y124" s="83">
        <f t="shared" si="36"/>
        <v>21445.791280255617</v>
      </c>
      <c r="Z124" s="83">
        <f t="shared" si="36"/>
        <v>21583.514533884256</v>
      </c>
      <c r="AA124" s="83">
        <f t="shared" si="36"/>
        <v>21721.092846696432</v>
      </c>
      <c r="AB124" s="83">
        <f t="shared" si="36"/>
        <v>21858.526447376753</v>
      </c>
      <c r="AC124" s="292">
        <f t="shared" si="36"/>
        <v>21995.815564128992</v>
      </c>
      <c r="AD124" s="378">
        <f t="shared" si="30"/>
        <v>454084.62320212775</v>
      </c>
    </row>
    <row r="125" spans="1:30" s="112" customFormat="1" ht="12">
      <c r="A125" s="109"/>
      <c r="B125" s="109"/>
      <c r="C125" s="110"/>
      <c r="D125" s="227"/>
      <c r="E125" s="235"/>
      <c r="F125" s="111"/>
      <c r="G125" s="111"/>
      <c r="H125" s="111"/>
      <c r="I125" s="111"/>
      <c r="J125" s="111"/>
      <c r="K125" s="111"/>
      <c r="L125" s="111"/>
      <c r="M125" s="111"/>
      <c r="N125" s="111"/>
      <c r="O125" s="111"/>
      <c r="P125" s="111"/>
      <c r="Q125" s="111"/>
      <c r="R125" s="111"/>
      <c r="S125" s="111"/>
      <c r="T125" s="111"/>
      <c r="U125" s="111"/>
      <c r="V125" s="111"/>
      <c r="W125" s="111"/>
      <c r="X125" s="111"/>
      <c r="Y125" s="111"/>
      <c r="Z125" s="111"/>
      <c r="AC125" s="282"/>
      <c r="AD125" s="360">
        <f t="shared" si="30"/>
        <v>0</v>
      </c>
    </row>
    <row r="126" spans="1:30" s="53" customFormat="1" ht="12">
      <c r="A126" s="58" t="s">
        <v>360</v>
      </c>
      <c r="B126" s="58"/>
      <c r="D126" s="228"/>
      <c r="E126" s="236"/>
      <c r="F126" s="45"/>
      <c r="G126" s="57"/>
      <c r="AC126" s="283"/>
      <c r="AD126" s="361">
        <f t="shared" si="30"/>
        <v>0</v>
      </c>
    </row>
    <row r="127" spans="1:30" s="53" customFormat="1" ht="12">
      <c r="A127" s="55"/>
      <c r="B127" s="55"/>
      <c r="D127" s="228"/>
      <c r="E127" s="236"/>
      <c r="F127" s="45"/>
      <c r="G127" s="57"/>
      <c r="AC127" s="283"/>
      <c r="AD127" s="361">
        <f t="shared" si="30"/>
        <v>0</v>
      </c>
    </row>
    <row r="128" spans="1:30" s="53" customFormat="1" ht="12">
      <c r="A128" s="45"/>
      <c r="B128" s="45"/>
      <c r="C128" s="46" t="s">
        <v>88</v>
      </c>
      <c r="D128" s="228"/>
      <c r="E128" s="236"/>
      <c r="F128" s="45"/>
      <c r="G128" s="57"/>
      <c r="L128" s="61"/>
      <c r="AC128" s="283"/>
      <c r="AD128" s="361">
        <f t="shared" si="30"/>
        <v>0</v>
      </c>
    </row>
    <row r="129" spans="1:30" s="53" customFormat="1" ht="12">
      <c r="A129" s="45"/>
      <c r="B129" s="45"/>
      <c r="C129" s="78" t="s">
        <v>42</v>
      </c>
      <c r="D129" s="228"/>
      <c r="E129" s="236"/>
      <c r="F129" s="45"/>
      <c r="G129" s="57"/>
      <c r="L129" s="61"/>
      <c r="AC129" s="283"/>
      <c r="AD129" s="361">
        <f t="shared" si="30"/>
        <v>0</v>
      </c>
    </row>
    <row r="130" spans="1:30" s="53" customFormat="1" ht="12">
      <c r="A130" s="45"/>
      <c r="B130" s="45"/>
      <c r="C130" s="48" t="s">
        <v>97</v>
      </c>
      <c r="D130" s="228"/>
      <c r="E130" s="238"/>
      <c r="F130" s="71">
        <f>((('Emissions Assumptions'!D9/907185)+('Emissions Assumptions'!D11/907185))*'Forest Glen'!F36)+(('Emissions Assumptions'!D10/907185)*'Forest Glen'!F37)</f>
        <v>0</v>
      </c>
      <c r="G130" s="71">
        <f>((('Emissions Assumptions'!E9/907185)+('Emissions Assumptions'!E11/907185))*'Forest Glen'!G36)+(('Emissions Assumptions'!E10/907185)*'Forest Glen'!G37)</f>
        <v>0</v>
      </c>
      <c r="H130" s="71">
        <f>((('Emissions Assumptions'!F9/907185)+('Emissions Assumptions'!F11/907185))*'Forest Glen'!H36)+(('Emissions Assumptions'!F10/907185)*'Forest Glen'!H37)</f>
        <v>0</v>
      </c>
      <c r="I130" s="71">
        <f>((('Emissions Assumptions'!G9/907185)+('Emissions Assumptions'!G11/907185))*'Forest Glen'!I36)+(('Emissions Assumptions'!G10/907185)*'Forest Glen'!I37)</f>
        <v>0</v>
      </c>
      <c r="J130" s="71">
        <f>((('Emissions Assumptions'!H9/907185)+('Emissions Assumptions'!H11/907185))*'Forest Glen'!J36)+(('Emissions Assumptions'!H10/907185)*'Forest Glen'!J37)</f>
        <v>-7.0962567339840771E-2</v>
      </c>
      <c r="K130" s="71">
        <f>((('Emissions Assumptions'!I9/907185)+('Emissions Assumptions'!I11/907185))*'Forest Glen'!K36)+(('Emissions Assumptions'!I10/907185)*'Forest Glen'!K37)</f>
        <v>-9.165657642138858E-2</v>
      </c>
      <c r="L130" s="71">
        <f>((('Emissions Assumptions'!J9/907185)+('Emissions Assumptions'!J11/907185))*'Forest Glen'!L36)+(('Emissions Assumptions'!J10/907185)*'Forest Glen'!L37)</f>
        <v>-8.7650600165133347E-2</v>
      </c>
      <c r="M130" s="71">
        <f>((('Emissions Assumptions'!K9/907185)+('Emissions Assumptions'!K11/907185))*'Forest Glen'!M36)+(('Emissions Assumptions'!K10/907185)*'Forest Glen'!M37)</f>
        <v>-8.3472863503172817E-2</v>
      </c>
      <c r="N130" s="71">
        <f>((('Emissions Assumptions'!L9/907185)+('Emissions Assumptions'!L11/907185))*'Forest Glen'!N36)+(('Emissions Assumptions'!L10/907185)*'Forest Glen'!N37)</f>
        <v>-7.9115832371386585E-2</v>
      </c>
      <c r="O130" s="71">
        <f>((('Emissions Assumptions'!M9/907185)+('Emissions Assumptions'!M11/907185))*'Forest Glen'!O36)+(('Emissions Assumptions'!M10/907185)*'Forest Glen'!O37)</f>
        <v>-7.3634295330687466E-2</v>
      </c>
      <c r="P130" s="71">
        <f>((('Emissions Assumptions'!N9/907185)+('Emissions Assumptions'!N11/907185))*'Forest Glen'!P36)+(('Emissions Assumptions'!N10/907185)*'Forest Glen'!P37)</f>
        <v>-7.3244464284420593E-2</v>
      </c>
      <c r="Q130" s="71">
        <f>((('Emissions Assumptions'!O9/907185)+('Emissions Assumptions'!O11/907185))*'Forest Glen'!Q36)+(('Emissions Assumptions'!O10/907185)*'Forest Glen'!Q37)</f>
        <v>-7.2847226313245972E-2</v>
      </c>
      <c r="R130" s="71">
        <f>((('Emissions Assumptions'!P9/907185)+('Emissions Assumptions'!P11/907185))*'Forest Glen'!R36)+(('Emissions Assumptions'!P10/907185)*'Forest Glen'!R37)</f>
        <v>-7.2442452310536906E-2</v>
      </c>
      <c r="S130" s="71">
        <f>((('Emissions Assumptions'!Q9/907185)+('Emissions Assumptions'!Q11/907185))*'Forest Glen'!S36)+(('Emissions Assumptions'!Q10/907185)*'Forest Glen'!S37)</f>
        <v>-7.2030011294453314E-2</v>
      </c>
      <c r="T130" s="71">
        <f>((('Emissions Assumptions'!R9/907185)+('Emissions Assumptions'!R11/907185))*'Forest Glen'!T36)+(('Emissions Assumptions'!R10/907185)*'Forest Glen'!T37)</f>
        <v>-7.1609770383308888E-2</v>
      </c>
      <c r="U130" s="71">
        <f>((('Emissions Assumptions'!S9/907185)+('Emissions Assumptions'!S11/907185))*'Forest Glen'!U36)+(('Emissions Assumptions'!S10/907185)*'Forest Glen'!U37)</f>
        <v>-7.1181594770633377E-2</v>
      </c>
      <c r="V130" s="71">
        <f>((('Emissions Assumptions'!T9/907185)+('Emissions Assumptions'!T11/907185))*'Forest Glen'!V36)+(('Emissions Assumptions'!T10/907185)*'Forest Glen'!V37)</f>
        <v>-7.0745347699925909E-2</v>
      </c>
      <c r="W130" s="71">
        <f>((('Emissions Assumptions'!U9/907185)+('Emissions Assumptions'!U11/907185))*'Forest Glen'!W36)+(('Emissions Assumptions'!U10/907185)*'Forest Glen'!W37)</f>
        <v>-7.0300890439095737E-2</v>
      </c>
      <c r="X130" s="71">
        <f>((('Emissions Assumptions'!V9/907185)+('Emissions Assumptions'!V11/907185))*'Forest Glen'!X36)+(('Emissions Assumptions'!V10/907185)*'Forest Glen'!X37)</f>
        <v>-6.9848082254587149E-2</v>
      </c>
      <c r="Y130" s="71">
        <f>((('Emissions Assumptions'!W9/907185)+('Emissions Assumptions'!W11/907185))*'Forest Glen'!Y36)+(('Emissions Assumptions'!W10/907185)*'Forest Glen'!Y37)</f>
        <v>-6.9386780385183783E-2</v>
      </c>
      <c r="Z130" s="71">
        <f>((('Emissions Assumptions'!X9/907185)+('Emissions Assumptions'!X11/907185))*'Forest Glen'!Z36)+(('Emissions Assumptions'!X10/907185)*'Forest Glen'!Z37)</f>
        <v>-6.9868703009766178E-2</v>
      </c>
      <c r="AA130" s="71">
        <f>((('Emissions Assumptions'!Y9/907185)+('Emissions Assumptions'!Y11/907185))*'Forest Glen'!AA36)+(('Emissions Assumptions'!Y10/907185)*'Forest Glen'!AA37)</f>
        <v>-7.0355288021161727E-2</v>
      </c>
      <c r="AB130" s="71">
        <f>((('Emissions Assumptions'!Z9/907185)+('Emissions Assumptions'!Z11/907185))*'Forest Glen'!AB36)+(('Emissions Assumptions'!Z10/907185)*'Forest Glen'!AB37)</f>
        <v>-7.084658192717741E-2</v>
      </c>
      <c r="AC130" s="412">
        <f>((('Emissions Assumptions'!AA9/907185)+('Emissions Assumptions'!AA11/907185))*'Forest Glen'!AC36)+(('Emissions Assumptions'!AA10/907185)*'Forest Glen'!AC37)</f>
        <v>-7.1342631700612336E-2</v>
      </c>
      <c r="AD130" s="380">
        <f t="shared" si="30"/>
        <v>-1.4825425599257187</v>
      </c>
    </row>
    <row r="131" spans="1:30" s="53" customFormat="1" ht="12">
      <c r="A131" s="45"/>
      <c r="B131" s="45"/>
      <c r="C131" s="48" t="s">
        <v>98</v>
      </c>
      <c r="D131" s="228"/>
      <c r="E131" s="238"/>
      <c r="F131" s="71">
        <f>(('Emissions Assumptions'!D4/907185)*F22)+(('Emissions Assumptions'!D5/907185)*F23)</f>
        <v>0</v>
      </c>
      <c r="G131" s="71">
        <f>(('Emissions Assumptions'!E4/907185)*G22)+(('Emissions Assumptions'!E5/907185)*G23)</f>
        <v>0</v>
      </c>
      <c r="H131" s="71">
        <f>(('Emissions Assumptions'!F4/907185)*H22)+(('Emissions Assumptions'!F5/907185)*H23)</f>
        <v>-4.8906314157551228E-2</v>
      </c>
      <c r="I131" s="71">
        <f>(('Emissions Assumptions'!G4/907185)*I22)+(('Emissions Assumptions'!G5/907185)*I23)</f>
        <v>-4.6588803893170813E-2</v>
      </c>
      <c r="J131" s="71">
        <f>(('Emissions Assumptions'!H4/907185)*J22)+(('Emissions Assumptions'!H5/907185)*J23)</f>
        <v>-4.4099780399907182E-2</v>
      </c>
      <c r="K131" s="71">
        <f>(('Emissions Assumptions'!I4/907185)*K22)+(('Emissions Assumptions'!I5/907185)*K23)</f>
        <v>-4.1439243677760348E-2</v>
      </c>
      <c r="L131" s="71">
        <f>(('Emissions Assumptions'!J4/907185)*L22)+(('Emissions Assumptions'!J5/907185)*L23)</f>
        <v>-3.8607193726730271E-2</v>
      </c>
      <c r="M131" s="71">
        <f>(('Emissions Assumptions'!K4/907185)*M22)+(('Emissions Assumptions'!K5/907185)*M23)</f>
        <v>-3.5603630546817019E-2</v>
      </c>
      <c r="N131" s="71">
        <f>(('Emissions Assumptions'!L4/907185)*N22)+(('Emissions Assumptions'!L5/907185)*N23)</f>
        <v>-3.2428554138020524E-2</v>
      </c>
      <c r="O131" s="71">
        <f>(('Emissions Assumptions'!M4/907185)*O22)+(('Emissions Assumptions'!M5/907185)*O23)</f>
        <v>-2.8680207681353327E-2</v>
      </c>
      <c r="P131" s="71">
        <f>(('Emissions Assumptions'!N4/907185)*P22)+(('Emissions Assumptions'!N5/907185)*P23)</f>
        <v>-2.8366661343202131E-2</v>
      </c>
      <c r="Q131" s="71">
        <f>(('Emissions Assumptions'!O4/907185)*Q22)+(('Emissions Assumptions'!O5/907185)*Q23)</f>
        <v>-2.804528614550638E-2</v>
      </c>
      <c r="R131" s="71">
        <f>(('Emissions Assumptions'!P4/907185)*R22)+(('Emissions Assumptions'!P5/907185)*R23)</f>
        <v>-2.7716082088266099E-2</v>
      </c>
      <c r="S131" s="71">
        <f>(('Emissions Assumptions'!Q4/907185)*S22)+(('Emissions Assumptions'!Q5/907185)*S23)</f>
        <v>-2.7379049171481269E-2</v>
      </c>
      <c r="T131" s="71">
        <f>(('Emissions Assumptions'!R4/907185)*T22)+(('Emissions Assumptions'!R5/907185)*T23)</f>
        <v>-2.7034187395151892E-2</v>
      </c>
      <c r="U131" s="71">
        <f>(('Emissions Assumptions'!S4/907185)*U22)+(('Emissions Assumptions'!S5/907185)*U23)</f>
        <v>-2.6681496759277966E-2</v>
      </c>
      <c r="V131" s="71">
        <f>(('Emissions Assumptions'!T4/907185)*V22)+(('Emissions Assumptions'!T5/907185)*V23)</f>
        <v>-2.6320977263859492E-2</v>
      </c>
      <c r="W131" s="71">
        <f>(('Emissions Assumptions'!U4/907185)*W22)+(('Emissions Assumptions'!U5/907185)*W23)</f>
        <v>-2.5952628908896481E-2</v>
      </c>
      <c r="X131" s="71">
        <f>(('Emissions Assumptions'!V4/907185)*X22)+(('Emissions Assumptions'!V5/907185)*X23)</f>
        <v>-2.5576451694388928E-2</v>
      </c>
      <c r="Y131" s="71">
        <f>(('Emissions Assumptions'!W4/907185)*Y22)+(('Emissions Assumptions'!W5/907185)*Y23)</f>
        <v>-2.5192445620336811E-2</v>
      </c>
      <c r="Z131" s="71">
        <f>(('Emissions Assumptions'!X4/907185)*Z22)+(('Emissions Assumptions'!X5/907185)*Z23)</f>
        <v>-2.5367585136095161E-2</v>
      </c>
      <c r="AA131" s="71">
        <f>(('Emissions Assumptions'!Y4/907185)*AA22)+(('Emissions Assumptions'!Y5/907185)*AA23)</f>
        <v>-2.5542724651853511E-2</v>
      </c>
      <c r="AB131" s="71">
        <f>(('Emissions Assumptions'!Z4/907185)*AB22)+(('Emissions Assumptions'!Z5/907185)*AB23)</f>
        <v>-2.5717864167611862E-2</v>
      </c>
      <c r="AC131" s="412">
        <f>(('Emissions Assumptions'!AA4/907185)*AC22)+(('Emissions Assumptions'!AA5/907185)*AC23)</f>
        <v>-2.5893003683370212E-2</v>
      </c>
      <c r="AD131" s="380">
        <f t="shared" si="30"/>
        <v>-0.68714017225060897</v>
      </c>
    </row>
    <row r="132" spans="1:30" s="53" customFormat="1" ht="12">
      <c r="A132" s="45"/>
      <c r="B132" s="45"/>
      <c r="C132" s="48" t="s">
        <v>99</v>
      </c>
      <c r="D132" s="228"/>
      <c r="E132" s="238"/>
      <c r="F132" s="71">
        <f>(('Emissions Assumptions'!D14/907185)*F22)+(('Emissions Assumptions'!D18/907185)*F23)+(('Emissions Assumptions'!D19/907185)*F22)</f>
        <v>0</v>
      </c>
      <c r="G132" s="71">
        <f>(('Emissions Assumptions'!E14/907185)*G22)+(('Emissions Assumptions'!E18/907185)*G23)+(('Emissions Assumptions'!E19/907185)*G22)</f>
        <v>0</v>
      </c>
      <c r="H132" s="71">
        <f>(('Emissions Assumptions'!F14/907185)*H22)+(('Emissions Assumptions'!F18/907185)*H23)+(('Emissions Assumptions'!F19/907185)*H22)</f>
        <v>-6.9835095462927765E-2</v>
      </c>
      <c r="I132" s="71">
        <f>(('Emissions Assumptions'!G14/907185)*I22)+(('Emissions Assumptions'!G18/907185)*I23)+(('Emissions Assumptions'!G19/907185)*I22)</f>
        <v>-6.6439702817967822E-2</v>
      </c>
      <c r="J132" s="71">
        <f>(('Emissions Assumptions'!H14/907185)*J22)+(('Emissions Assumptions'!H18/907185)*J23)+(('Emissions Assumptions'!H19/907185)*J22)</f>
        <v>-6.2795219672456729E-2</v>
      </c>
      <c r="K132" s="71">
        <f>(('Emissions Assumptions'!I14/907185)*K22)+(('Emissions Assumptions'!I18/907185)*K23)+(('Emissions Assumptions'!I19/907185)*K22)</f>
        <v>-5.8901646026394527E-2</v>
      </c>
      <c r="L132" s="71">
        <f>(('Emissions Assumptions'!J14/907185)*L22)+(('Emissions Assumptions'!J18/907185)*L23)+(('Emissions Assumptions'!J19/907185)*L22)</f>
        <v>-5.4758981879781142E-2</v>
      </c>
      <c r="M132" s="71">
        <f>(('Emissions Assumptions'!K14/907185)*M22)+(('Emissions Assumptions'!K18/907185)*M23)+(('Emissions Assumptions'!K19/907185)*M22)</f>
        <v>-5.0367227232616656E-2</v>
      </c>
      <c r="N132" s="71">
        <f>(('Emissions Assumptions'!L14/907185)*N22)+(('Emissions Assumptions'!L18/907185)*N23)+(('Emissions Assumptions'!L19/907185)*N22)</f>
        <v>-4.5726382084901006E-2</v>
      </c>
      <c r="O132" s="71">
        <f>(('Emissions Assumptions'!M14/907185)*O22)+(('Emissions Assumptions'!M18/907185)*O23)+(('Emissions Assumptions'!M19/907185)*O22)</f>
        <v>-4.0272305701955072E-2</v>
      </c>
      <c r="P132" s="71">
        <f>(('Emissions Assumptions'!N14/907185)*P22)+(('Emissions Assumptions'!N18/907185)*P23)+(('Emissions Assumptions'!N19/907185)*P22)</f>
        <v>-3.9486012000580731E-2</v>
      </c>
      <c r="Q132" s="71">
        <f>(('Emissions Assumptions'!O14/907185)*Q22)+(('Emissions Assumptions'!O18/907185)*Q23)+(('Emissions Assumptions'!O19/907185)*Q22)</f>
        <v>-3.8683592960375685E-2</v>
      </c>
      <c r="R132" s="71">
        <f>(('Emissions Assumptions'!P14/907185)*R22)+(('Emissions Assumptions'!P18/907185)*R23)+(('Emissions Assumptions'!P19/907185)*R22)</f>
        <v>-3.7865048581339988E-2</v>
      </c>
      <c r="S132" s="71">
        <f>(('Emissions Assumptions'!Q14/907185)*S22)+(('Emissions Assumptions'!Q18/907185)*S23)+(('Emissions Assumptions'!Q19/907185)*S22)</f>
        <v>-3.7030378863473622E-2</v>
      </c>
      <c r="T132" s="71">
        <f>(('Emissions Assumptions'!R14/907185)*T22)+(('Emissions Assumptions'!R18/907185)*T23)+(('Emissions Assumptions'!R19/907185)*T22)</f>
        <v>-3.6179583806776584E-2</v>
      </c>
      <c r="U132" s="71">
        <f>(('Emissions Assumptions'!S14/907185)*U22)+(('Emissions Assumptions'!S18/907185)*U23)+(('Emissions Assumptions'!S19/907185)*U22)</f>
        <v>-3.5312663411248855E-2</v>
      </c>
      <c r="V132" s="71">
        <f>(('Emissions Assumptions'!T14/907185)*V22)+(('Emissions Assumptions'!T18/907185)*V23)+(('Emissions Assumptions'!T19/907185)*V22)</f>
        <v>-3.442961767689047E-2</v>
      </c>
      <c r="W132" s="71">
        <f>(('Emissions Assumptions'!U14/907185)*W22)+(('Emissions Assumptions'!U18/907185)*W23)+(('Emissions Assumptions'!U19/907185)*W22)</f>
        <v>-3.3530446603701414E-2</v>
      </c>
      <c r="X132" s="71">
        <f>(('Emissions Assumptions'!V14/907185)*X22)+(('Emissions Assumptions'!V18/907185)*X23)+(('Emissions Assumptions'!V19/907185)*X22)</f>
        <v>-3.2615150191681687E-2</v>
      </c>
      <c r="Y132" s="71">
        <f>(('Emissions Assumptions'!W14/907185)*Y22)+(('Emissions Assumptions'!W18/907185)*Y23)+(('Emissions Assumptions'!W19/907185)*Y22)</f>
        <v>-3.1683728440831276E-2</v>
      </c>
      <c r="Z132" s="71">
        <f>(('Emissions Assumptions'!X14/907185)*Z22)+(('Emissions Assumptions'!X18/907185)*Z23)+(('Emissions Assumptions'!X19/907185)*Z22)</f>
        <v>-3.1903995775736889E-2</v>
      </c>
      <c r="AA132" s="71">
        <f>(('Emissions Assumptions'!Y14/907185)*AA22)+(('Emissions Assumptions'!Y18/907185)*AA23)+(('Emissions Assumptions'!Y19/907185)*AA22)</f>
        <v>-3.2124263110642509E-2</v>
      </c>
      <c r="AB132" s="71">
        <f>(('Emissions Assumptions'!Z14/907185)*AB22)+(('Emissions Assumptions'!Z18/907185)*AB23)+(('Emissions Assumptions'!Z19/907185)*AB22)</f>
        <v>-3.2344530445548123E-2</v>
      </c>
      <c r="AC132" s="412">
        <f>(('Emissions Assumptions'!AA14/907185)*AC22)+(('Emissions Assumptions'!AA18/907185)*AC23)+(('Emissions Assumptions'!AA19/907185)*AC22)</f>
        <v>-3.2564797780453736E-2</v>
      </c>
      <c r="AD132" s="380">
        <f t="shared" si="30"/>
        <v>-0.93485037052828213</v>
      </c>
    </row>
    <row r="133" spans="1:30" s="53" customFormat="1" ht="12">
      <c r="A133" s="45"/>
      <c r="B133" s="45"/>
      <c r="C133" s="48" t="s">
        <v>100</v>
      </c>
      <c r="D133" s="228"/>
      <c r="E133" s="238"/>
      <c r="F133" s="71">
        <f>('Emissions Assumptions'!D21/907185)*F23</f>
        <v>0</v>
      </c>
      <c r="G133" s="71">
        <f>('Emissions Assumptions'!E21/907185)*G23</f>
        <v>0</v>
      </c>
      <c r="H133" s="71">
        <f>('Emissions Assumptions'!F21/907185)*H23</f>
        <v>-54.253878323456945</v>
      </c>
      <c r="I133" s="71">
        <f>('Emissions Assumptions'!G21/907185)*I23</f>
        <v>-54.274921927148597</v>
      </c>
      <c r="J133" s="71">
        <f>('Emissions Assumptions'!H21/907185)*J23</f>
        <v>-54.231497681918171</v>
      </c>
      <c r="K133" s="71">
        <f>('Emissions Assumptions'!I21/907185)*K23</f>
        <v>-54.123605587765702</v>
      </c>
      <c r="L133" s="71">
        <f>('Emissions Assumptions'!J21/907185)*L23</f>
        <v>-53.951245644691127</v>
      </c>
      <c r="M133" s="71">
        <f>('Emissions Assumptions'!K21/907185)*M23</f>
        <v>-53.714417852694524</v>
      </c>
      <c r="N133" s="71">
        <f>('Emissions Assumptions'!L21/907185)*N23</f>
        <v>-53.413122211775821</v>
      </c>
      <c r="O133" s="71">
        <f>('Emissions Assumptions'!M21/907185)*O23</f>
        <v>-52.314528651409269</v>
      </c>
      <c r="P133" s="71">
        <f>('Emissions Assumptions'!N21/907185)*P23</f>
        <v>-52.033476306184419</v>
      </c>
      <c r="Q133" s="71">
        <f>('Emissions Assumptions'!O21/907185)*Q23</f>
        <v>-51.742457942757149</v>
      </c>
      <c r="R133" s="71">
        <f>('Emissions Assumptions'!P21/907185)*R23</f>
        <v>-51.441473561127523</v>
      </c>
      <c r="S133" s="71">
        <f>('Emissions Assumptions'!Q21/907185)*S23</f>
        <v>-51.130523161295507</v>
      </c>
      <c r="T133" s="71">
        <f>('Emissions Assumptions'!R21/907185)*T23</f>
        <v>-50.809606743261092</v>
      </c>
      <c r="U133" s="71">
        <f>('Emissions Assumptions'!S21/907185)*U23</f>
        <v>-50.478724307024272</v>
      </c>
      <c r="V133" s="71">
        <f>('Emissions Assumptions'!T21/907185)*V23</f>
        <v>-50.137875852585083</v>
      </c>
      <c r="W133" s="71">
        <f>('Emissions Assumptions'!U21/907185)*W23</f>
        <v>-49.787061379943502</v>
      </c>
      <c r="X133" s="71">
        <f>('Emissions Assumptions'!V21/907185)*X23</f>
        <v>-49.426280889099523</v>
      </c>
      <c r="Y133" s="71">
        <f>('Emissions Assumptions'!W21/907185)*Y23</f>
        <v>-49.055534380053153</v>
      </c>
      <c r="Z133" s="71">
        <f>('Emissions Assumptions'!X21/907185)*Z23</f>
        <v>-49.396571636462028</v>
      </c>
      <c r="AA133" s="71">
        <f>('Emissions Assumptions'!Y21/907185)*AA23</f>
        <v>-49.737608892870909</v>
      </c>
      <c r="AB133" s="71">
        <f>('Emissions Assumptions'!Z21/907185)*AB23</f>
        <v>-50.078646149279791</v>
      </c>
      <c r="AC133" s="412">
        <f>('Emissions Assumptions'!AA21/907185)*AC23</f>
        <v>-50.419683405688673</v>
      </c>
      <c r="AD133" s="380">
        <f t="shared" si="30"/>
        <v>-1135.9527424884927</v>
      </c>
    </row>
    <row r="134" spans="1:30" s="53" customFormat="1" ht="12">
      <c r="A134" s="45"/>
      <c r="B134" s="45"/>
      <c r="C134" s="70" t="s">
        <v>115</v>
      </c>
      <c r="D134" s="228"/>
      <c r="E134" s="236"/>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283"/>
      <c r="AD134" s="361">
        <f t="shared" si="30"/>
        <v>0</v>
      </c>
    </row>
    <row r="135" spans="1:30" s="53" customFormat="1" ht="12">
      <c r="A135" s="45"/>
      <c r="B135" s="45"/>
      <c r="C135" s="48" t="s">
        <v>43</v>
      </c>
      <c r="D135" s="228"/>
      <c r="E135" s="239"/>
      <c r="F135" s="56">
        <f>-(F130*'Emissions Assumptions'!D12)</f>
        <v>0</v>
      </c>
      <c r="G135" s="56">
        <f>-(G130*'Emissions Assumptions'!E12)</f>
        <v>0</v>
      </c>
      <c r="H135" s="56">
        <f>-(H130*'Emissions Assumptions'!F12)</f>
        <v>0</v>
      </c>
      <c r="I135" s="56">
        <f>-(I130*'Emissions Assumptions'!G12)</f>
        <v>0</v>
      </c>
      <c r="J135" s="56">
        <f>-(J130*'Emissions Assumptions'!H12)</f>
        <v>120.63636447772932</v>
      </c>
      <c r="K135" s="56">
        <f>-(K130*'Emissions Assumptions'!I12)</f>
        <v>155.8161799163606</v>
      </c>
      <c r="L135" s="56">
        <f>-(L130*'Emissions Assumptions'!J12)</f>
        <v>149.00602028072669</v>
      </c>
      <c r="M135" s="56">
        <f>-(M130*'Emissions Assumptions'!K12)</f>
        <v>141.90386795539379</v>
      </c>
      <c r="N135" s="56">
        <f>-(N130*'Emissions Assumptions'!L12)</f>
        <v>134.49691503135719</v>
      </c>
      <c r="O135" s="56">
        <f>-(O130*'Emissions Assumptions'!M12)</f>
        <v>125.1783020621687</v>
      </c>
      <c r="P135" s="56">
        <f>-(P130*'Emissions Assumptions'!N12)</f>
        <v>124.51558928351501</v>
      </c>
      <c r="Q135" s="56">
        <f>-(Q130*'Emissions Assumptions'!O12)</f>
        <v>123.84028473251816</v>
      </c>
      <c r="R135" s="56">
        <f>-(R130*'Emissions Assumptions'!P12)</f>
        <v>123.15216892791274</v>
      </c>
      <c r="S135" s="56">
        <f>-(S130*'Emissions Assumptions'!Q12)</f>
        <v>122.45101920057063</v>
      </c>
      <c r="T135" s="56">
        <f>-(T130*'Emissions Assumptions'!R12)</f>
        <v>121.73660965162512</v>
      </c>
      <c r="U135" s="56">
        <f>-(U130*'Emissions Assumptions'!S12)</f>
        <v>121.00871111007675</v>
      </c>
      <c r="V135" s="56">
        <f>-(V130*'Emissions Assumptions'!T12)</f>
        <v>120.26709108987404</v>
      </c>
      <c r="W135" s="56">
        <f>-(W130*'Emissions Assumptions'!U12)</f>
        <v>119.51151374646275</v>
      </c>
      <c r="X135" s="56">
        <f>-(X130*'Emissions Assumptions'!V12)</f>
        <v>118.74173983279815</v>
      </c>
      <c r="Y135" s="56">
        <f>-(Y130*'Emissions Assumptions'!W12)</f>
        <v>117.95752665481243</v>
      </c>
      <c r="Z135" s="56">
        <f>-(Z130*'Emissions Assumptions'!X12)</f>
        <v>118.7767951166025</v>
      </c>
      <c r="AA135" s="56">
        <f>-(AA130*'Emissions Assumptions'!Y12)</f>
        <v>119.60398963597494</v>
      </c>
      <c r="AB135" s="56">
        <f>-(AB130*'Emissions Assumptions'!Z12)</f>
        <v>120.4391892762016</v>
      </c>
      <c r="AC135" s="413">
        <f>-(AC130*'Emissions Assumptions'!AA12)</f>
        <v>121.28247389104096</v>
      </c>
      <c r="AD135" s="381">
        <f t="shared" si="30"/>
        <v>2520.3223518737213</v>
      </c>
    </row>
    <row r="136" spans="1:30" ht="13.5">
      <c r="A136" s="45"/>
      <c r="B136" s="45"/>
      <c r="C136" s="48" t="s">
        <v>119</v>
      </c>
      <c r="D136" s="228"/>
      <c r="E136" s="239"/>
      <c r="F136" s="56">
        <f>-(F131*'Emissions Assumptions'!D6)</f>
        <v>0</v>
      </c>
      <c r="G136" s="56">
        <f>-(G131*'Emissions Assumptions'!E6)</f>
        <v>0</v>
      </c>
      <c r="H136" s="56">
        <f>-(H131*'Emissions Assumptions'!F6)</f>
        <v>195.62525663020492</v>
      </c>
      <c r="I136" s="56">
        <f>-(I131*'Emissions Assumptions'!G6)</f>
        <v>186.35521557268325</v>
      </c>
      <c r="J136" s="56">
        <f>-(J131*'Emissions Assumptions'!H6)</f>
        <v>176.39912159962873</v>
      </c>
      <c r="K136" s="56">
        <f>-(K131*'Emissions Assumptions'!I6)</f>
        <v>165.75697471104138</v>
      </c>
      <c r="L136" s="56">
        <f>-(L131*'Emissions Assumptions'!J6)</f>
        <v>154.42877490692109</v>
      </c>
      <c r="M136" s="56">
        <f>-(M131*'Emissions Assumptions'!K6)</f>
        <v>142.41452218726809</v>
      </c>
      <c r="N136" s="56">
        <f>-(N131*'Emissions Assumptions'!L6)</f>
        <v>129.71421655208209</v>
      </c>
      <c r="O136" s="56">
        <f>-(O131*'Emissions Assumptions'!M6)</f>
        <v>114.72083072541331</v>
      </c>
      <c r="P136" s="56">
        <f>-(P131*'Emissions Assumptions'!N6)</f>
        <v>113.46664537280853</v>
      </c>
      <c r="Q136" s="56">
        <f>-(Q131*'Emissions Assumptions'!O6)</f>
        <v>112.18114458202552</v>
      </c>
      <c r="R136" s="56">
        <f>-(R131*'Emissions Assumptions'!P6)</f>
        <v>110.86432835306439</v>
      </c>
      <c r="S136" s="56">
        <f>-(S131*'Emissions Assumptions'!Q6)</f>
        <v>109.51619668592508</v>
      </c>
      <c r="T136" s="56">
        <f>-(T131*'Emissions Assumptions'!R6)</f>
        <v>108.13674958060757</v>
      </c>
      <c r="U136" s="56">
        <f>-(U131*'Emissions Assumptions'!S6)</f>
        <v>106.72598703711186</v>
      </c>
      <c r="V136" s="56">
        <f>-(V131*'Emissions Assumptions'!T6)</f>
        <v>105.28390905543797</v>
      </c>
      <c r="W136" s="56">
        <f>-(W131*'Emissions Assumptions'!U6)</f>
        <v>103.81051563558593</v>
      </c>
      <c r="X136" s="56">
        <f>-(X131*'Emissions Assumptions'!V6)</f>
        <v>102.30580677755572</v>
      </c>
      <c r="Y136" s="56">
        <f>-(Y131*'Emissions Assumptions'!W6)</f>
        <v>100.76978248134724</v>
      </c>
      <c r="Z136" s="56">
        <f>-(Z131*'Emissions Assumptions'!X6)</f>
        <v>101.47034054438065</v>
      </c>
      <c r="AA136" s="56">
        <f>-(AA131*'Emissions Assumptions'!Y6)</f>
        <v>102.17089860741405</v>
      </c>
      <c r="AB136" s="56">
        <f>-(AB131*'Emissions Assumptions'!Z6)</f>
        <v>102.87145667044744</v>
      </c>
      <c r="AC136" s="413">
        <f>-(AC131*'Emissions Assumptions'!AA6)</f>
        <v>103.57201473348086</v>
      </c>
      <c r="AD136" s="381">
        <f t="shared" si="30"/>
        <v>2748.5606890024355</v>
      </c>
    </row>
    <row r="137" spans="1:30" ht="13.5">
      <c r="A137" s="45"/>
      <c r="B137" s="45"/>
      <c r="C137" s="48" t="s">
        <v>117</v>
      </c>
      <c r="D137" s="228"/>
      <c r="E137" s="239"/>
      <c r="F137" s="56">
        <f>-(F132*'Emissions Assumptions'!D15)</f>
        <v>0</v>
      </c>
      <c r="G137" s="56">
        <f>-(G132*'Emissions Assumptions'!E15)</f>
        <v>0</v>
      </c>
      <c r="H137" s="56">
        <f>-(H132*'Emissions Assumptions'!F15)</f>
        <v>11732.296037771865</v>
      </c>
      <c r="I137" s="56">
        <f>-(I132*'Emissions Assumptions'!G15)</f>
        <v>11161.870073418593</v>
      </c>
      <c r="J137" s="56">
        <f>-(J132*'Emissions Assumptions'!H15)</f>
        <v>10549.59690497273</v>
      </c>
      <c r="K137" s="56">
        <f>-(K132*'Emissions Assumptions'!I15)</f>
        <v>9895.4765324342807</v>
      </c>
      <c r="L137" s="56">
        <f>-(L132*'Emissions Assumptions'!J15)</f>
        <v>9199.5089558032323</v>
      </c>
      <c r="M137" s="56">
        <f>-(M132*'Emissions Assumptions'!K15)</f>
        <v>8461.6941750795977</v>
      </c>
      <c r="N137" s="56">
        <f>-(N132*'Emissions Assumptions'!L15)</f>
        <v>7682.0321902633686</v>
      </c>
      <c r="O137" s="56">
        <f>-(O132*'Emissions Assumptions'!M15)</f>
        <v>6765.7473579284524</v>
      </c>
      <c r="P137" s="56">
        <f>-(P132*'Emissions Assumptions'!N15)</f>
        <v>6633.6500160975629</v>
      </c>
      <c r="Q137" s="56">
        <f>-(Q132*'Emissions Assumptions'!O15)</f>
        <v>6498.8436173431146</v>
      </c>
      <c r="R137" s="56">
        <f>-(R132*'Emissions Assumptions'!P15)</f>
        <v>6361.3281616651184</v>
      </c>
      <c r="S137" s="56">
        <f>-(S132*'Emissions Assumptions'!Q15)</f>
        <v>6221.1036490635688</v>
      </c>
      <c r="T137" s="56">
        <f>-(T132*'Emissions Assumptions'!R15)</f>
        <v>6078.1700795384659</v>
      </c>
      <c r="U137" s="56">
        <f>-(U132*'Emissions Assumptions'!S15)</f>
        <v>5932.5274530898078</v>
      </c>
      <c r="V137" s="56">
        <f>-(V132*'Emissions Assumptions'!T15)</f>
        <v>5784.175769717599</v>
      </c>
      <c r="W137" s="56">
        <f>-(W132*'Emissions Assumptions'!U15)</f>
        <v>5633.1150294218378</v>
      </c>
      <c r="X137" s="56">
        <f>-(X132*'Emissions Assumptions'!V15)</f>
        <v>5479.3452322025232</v>
      </c>
      <c r="Y137" s="56">
        <f>-(Y132*'Emissions Assumptions'!W15)</f>
        <v>5322.8663780596544</v>
      </c>
      <c r="Z137" s="56">
        <f>-(Z132*'Emissions Assumptions'!X15)</f>
        <v>5359.8712903237974</v>
      </c>
      <c r="AA137" s="56">
        <f>-(AA132*'Emissions Assumptions'!Y15)</f>
        <v>5396.8762025879414</v>
      </c>
      <c r="AB137" s="56">
        <f>-(AB132*'Emissions Assumptions'!Z15)</f>
        <v>5433.8811148520845</v>
      </c>
      <c r="AC137" s="413">
        <f>-(AC132*'Emissions Assumptions'!AA15)</f>
        <v>5470.8860271162275</v>
      </c>
      <c r="AD137" s="381">
        <f t="shared" si="30"/>
        <v>157054.86224875145</v>
      </c>
    </row>
    <row r="138" spans="1:30" s="53" customFormat="1" ht="13.5">
      <c r="A138" s="45"/>
      <c r="B138" s="45"/>
      <c r="C138" s="48" t="s">
        <v>118</v>
      </c>
      <c r="D138" s="228"/>
      <c r="E138" s="239"/>
      <c r="F138" s="56">
        <f>-(F133*'Emissions Assumptions'!D22)</f>
        <v>0</v>
      </c>
      <c r="G138" s="56">
        <f>-(G133*'Emissions Assumptions'!E22)</f>
        <v>0</v>
      </c>
      <c r="H138" s="56">
        <f>-(H133*'Emissions Assumptions'!F22)</f>
        <v>1161.0329961219786</v>
      </c>
      <c r="I138" s="56">
        <f>-(I133*'Emissions Assumptions'!G22)</f>
        <v>1161.4833292409799</v>
      </c>
      <c r="J138" s="56">
        <f>-(J133*'Emissions Assumptions'!H22)</f>
        <v>1160.5540503930488</v>
      </c>
      <c r="K138" s="56">
        <f>-(K133*'Emissions Assumptions'!I22)</f>
        <v>1158.2451595781858</v>
      </c>
      <c r="L138" s="56">
        <f>-(L133*'Emissions Assumptions'!J22)</f>
        <v>1154.5566567963901</v>
      </c>
      <c r="M138" s="56">
        <f>-(M133*'Emissions Assumptions'!K22)</f>
        <v>1149.4885420476628</v>
      </c>
      <c r="N138" s="56">
        <f>-(N133*'Emissions Assumptions'!L22)</f>
        <v>1143.0408153320025</v>
      </c>
      <c r="O138" s="56">
        <f>-(O133*'Emissions Assumptions'!M22)</f>
        <v>1119.5309131401582</v>
      </c>
      <c r="P138" s="56">
        <f>-(P133*'Emissions Assumptions'!N22)</f>
        <v>1113.5163929523465</v>
      </c>
      <c r="Q138" s="56">
        <f>-(Q133*'Emissions Assumptions'!O22)</f>
        <v>1107.2885999750029</v>
      </c>
      <c r="R138" s="56">
        <f>-(R133*'Emissions Assumptions'!P22)</f>
        <v>1100.847534208129</v>
      </c>
      <c r="S138" s="56">
        <f>-(S133*'Emissions Assumptions'!Q22)</f>
        <v>1094.1931956517237</v>
      </c>
      <c r="T138" s="56">
        <f>-(T133*'Emissions Assumptions'!R22)</f>
        <v>1087.3255843057873</v>
      </c>
      <c r="U138" s="56">
        <f>-(U133*'Emissions Assumptions'!S22)</f>
        <v>1080.2447001703194</v>
      </c>
      <c r="V138" s="56">
        <f>-(V133*'Emissions Assumptions'!T22)</f>
        <v>1072.9505432453207</v>
      </c>
      <c r="W138" s="56">
        <f>-(W133*'Emissions Assumptions'!U22)</f>
        <v>1065.4431135307909</v>
      </c>
      <c r="X138" s="56">
        <f>-(X133*'Emissions Assumptions'!V22)</f>
        <v>1057.7224110267298</v>
      </c>
      <c r="Y138" s="56">
        <f>-(Y133*'Emissions Assumptions'!W22)</f>
        <v>1049.7884357331375</v>
      </c>
      <c r="Z138" s="56">
        <f>-(Z133*'Emissions Assumptions'!X22)</f>
        <v>1057.0866330202873</v>
      </c>
      <c r="AA138" s="56">
        <f>-(AA133*'Emissions Assumptions'!Y22)</f>
        <v>1064.3848303074374</v>
      </c>
      <c r="AB138" s="56">
        <f>-(AB133*'Emissions Assumptions'!Z22)</f>
        <v>1071.6830275945874</v>
      </c>
      <c r="AC138" s="413">
        <f>-(AC133*'Emissions Assumptions'!AA22)</f>
        <v>1078.9812248817375</v>
      </c>
      <c r="AD138" s="381">
        <f t="shared" si="30"/>
        <v>24309.388689253741</v>
      </c>
    </row>
    <row r="139" spans="1:30" s="5" customFormat="1" ht="12">
      <c r="A139" s="58"/>
      <c r="B139" s="58"/>
      <c r="C139" s="62" t="s">
        <v>613</v>
      </c>
      <c r="D139" s="231"/>
      <c r="E139" s="239"/>
      <c r="F139" s="83">
        <f>SUM(F135:F138)</f>
        <v>0</v>
      </c>
      <c r="G139" s="83">
        <f t="shared" ref="G139:AC139" si="37">SUM(G135:G138)</f>
        <v>0</v>
      </c>
      <c r="H139" s="83">
        <f t="shared" si="37"/>
        <v>13088.954290524049</v>
      </c>
      <c r="I139" s="83">
        <f t="shared" si="37"/>
        <v>12509.708618232256</v>
      </c>
      <c r="J139" s="83">
        <f t="shared" si="37"/>
        <v>12007.186441443137</v>
      </c>
      <c r="K139" s="83">
        <f t="shared" si="37"/>
        <v>11375.294846639868</v>
      </c>
      <c r="L139" s="83">
        <f t="shared" si="37"/>
        <v>10657.500407787271</v>
      </c>
      <c r="M139" s="83">
        <f t="shared" si="37"/>
        <v>9895.5011072699217</v>
      </c>
      <c r="N139" s="83">
        <f t="shared" si="37"/>
        <v>9089.2841371788109</v>
      </c>
      <c r="O139" s="83">
        <f t="shared" si="37"/>
        <v>8125.1774038561925</v>
      </c>
      <c r="P139" s="83">
        <f t="shared" si="37"/>
        <v>7985.1486437062322</v>
      </c>
      <c r="Q139" s="83">
        <f t="shared" si="37"/>
        <v>7842.1536466326615</v>
      </c>
      <c r="R139" s="83">
        <f t="shared" si="37"/>
        <v>7696.1921931542247</v>
      </c>
      <c r="S139" s="83">
        <f t="shared" si="37"/>
        <v>7547.2640606017885</v>
      </c>
      <c r="T139" s="83">
        <f t="shared" si="37"/>
        <v>7395.369023076486</v>
      </c>
      <c r="U139" s="83">
        <f t="shared" si="37"/>
        <v>7240.5068514073155</v>
      </c>
      <c r="V139" s="83">
        <f t="shared" si="37"/>
        <v>7082.6773131082318</v>
      </c>
      <c r="W139" s="83">
        <f t="shared" si="37"/>
        <v>6921.8801723346769</v>
      </c>
      <c r="X139" s="83">
        <f t="shared" si="37"/>
        <v>6758.1151898396065</v>
      </c>
      <c r="Y139" s="83">
        <f t="shared" si="37"/>
        <v>6591.3821229289515</v>
      </c>
      <c r="Z139" s="83">
        <f t="shared" si="37"/>
        <v>6637.2050590050676</v>
      </c>
      <c r="AA139" s="83">
        <f t="shared" si="37"/>
        <v>6683.0359211387677</v>
      </c>
      <c r="AB139" s="83">
        <f t="shared" si="37"/>
        <v>6728.8747883933211</v>
      </c>
      <c r="AC139" s="292">
        <f t="shared" si="37"/>
        <v>6774.7217406224863</v>
      </c>
      <c r="AD139" s="378">
        <f t="shared" si="30"/>
        <v>186633.13397888135</v>
      </c>
    </row>
    <row r="140" spans="1:30" s="53" customFormat="1" ht="12">
      <c r="A140" s="45"/>
      <c r="B140" s="45"/>
      <c r="D140" s="228"/>
      <c r="E140" s="236"/>
      <c r="F140" s="45"/>
      <c r="G140" s="57"/>
      <c r="AC140" s="283"/>
      <c r="AD140" s="361">
        <f t="shared" si="30"/>
        <v>0</v>
      </c>
    </row>
    <row r="141" spans="1:30" s="53" customFormat="1" ht="12">
      <c r="A141" s="45"/>
      <c r="B141" s="45"/>
      <c r="C141" s="64" t="s">
        <v>91</v>
      </c>
      <c r="D141" s="228"/>
      <c r="E141" s="236"/>
      <c r="F141" s="45"/>
      <c r="G141" s="57"/>
      <c r="AC141" s="283"/>
      <c r="AD141" s="361">
        <f t="shared" si="30"/>
        <v>0</v>
      </c>
    </row>
    <row r="142" spans="1:30" s="53" customFormat="1" ht="24">
      <c r="A142" s="45"/>
      <c r="B142" s="45"/>
      <c r="C142" s="222" t="s">
        <v>132</v>
      </c>
      <c r="D142" s="279">
        <f>'Price Assumptions'!$B$22</f>
        <v>0.2</v>
      </c>
      <c r="E142" s="236"/>
      <c r="G142" s="97"/>
      <c r="H142" s="97"/>
      <c r="I142" s="97"/>
      <c r="J142" s="97"/>
      <c r="K142" s="97"/>
      <c r="L142" s="97"/>
      <c r="M142" s="97"/>
      <c r="N142" s="97"/>
      <c r="O142" s="97"/>
      <c r="P142" s="97"/>
      <c r="Q142" s="97"/>
      <c r="R142" s="97"/>
      <c r="S142" s="97"/>
      <c r="T142" s="97"/>
      <c r="U142" s="97"/>
      <c r="V142" s="97"/>
      <c r="W142" s="97"/>
      <c r="X142" s="97"/>
      <c r="Y142" s="97"/>
      <c r="AC142" s="283"/>
      <c r="AD142" s="361">
        <f t="shared" si="30"/>
        <v>0</v>
      </c>
    </row>
    <row r="143" spans="1:30" s="53" customFormat="1" ht="24">
      <c r="A143" s="45"/>
      <c r="B143" s="45"/>
      <c r="C143" s="303" t="s">
        <v>520</v>
      </c>
      <c r="D143" s="304">
        <f>'Price Assumptions'!$B$21</f>
        <v>5.4413625171743009E-2</v>
      </c>
      <c r="E143" s="236"/>
      <c r="G143" s="96"/>
      <c r="H143" s="96"/>
      <c r="I143" s="96"/>
      <c r="J143" s="96"/>
      <c r="K143" s="96"/>
      <c r="L143" s="96"/>
      <c r="M143" s="96"/>
      <c r="N143" s="96"/>
      <c r="O143" s="96"/>
      <c r="P143" s="96"/>
      <c r="Q143" s="96"/>
      <c r="R143" s="96"/>
      <c r="S143" s="96"/>
      <c r="T143" s="96"/>
      <c r="U143" s="96"/>
      <c r="V143" s="96"/>
      <c r="W143" s="96"/>
      <c r="X143" s="96"/>
      <c r="Y143" s="96"/>
      <c r="AC143" s="283"/>
      <c r="AD143" s="361">
        <f t="shared" si="30"/>
        <v>0</v>
      </c>
    </row>
    <row r="144" spans="1:30" s="5" customFormat="1" ht="12">
      <c r="A144" s="58"/>
      <c r="B144" s="58"/>
      <c r="C144" s="87" t="s">
        <v>521</v>
      </c>
      <c r="D144" s="231"/>
      <c r="E144" s="239"/>
      <c r="F144" s="83">
        <f>$D$143*$D$142*(F16+F17)</f>
        <v>0</v>
      </c>
      <c r="G144" s="83">
        <f t="shared" ref="G144:AC144" si="38">$D$143*$D$142*(G16+G17)</f>
        <v>0</v>
      </c>
      <c r="H144" s="83">
        <f t="shared" si="38"/>
        <v>17.3687502042727</v>
      </c>
      <c r="I144" s="83">
        <f t="shared" si="38"/>
        <v>17.800724126804944</v>
      </c>
      <c r="J144" s="83">
        <f t="shared" si="38"/>
        <v>18.232698049337188</v>
      </c>
      <c r="K144" s="83">
        <f t="shared" si="38"/>
        <v>18.664671971869435</v>
      </c>
      <c r="L144" s="83">
        <f t="shared" si="38"/>
        <v>19.096645894401668</v>
      </c>
      <c r="M144" s="83">
        <f t="shared" si="38"/>
        <v>19.528619816933915</v>
      </c>
      <c r="N144" s="83">
        <f t="shared" si="38"/>
        <v>19.960593739466162</v>
      </c>
      <c r="O144" s="83">
        <f t="shared" si="38"/>
        <v>20.110851716888302</v>
      </c>
      <c r="P144" s="83">
        <f t="shared" si="38"/>
        <v>20.261109694310452</v>
      </c>
      <c r="Q144" s="83">
        <f t="shared" si="38"/>
        <v>20.411367671732595</v>
      </c>
      <c r="R144" s="83">
        <f t="shared" si="38"/>
        <v>20.561625649154738</v>
      </c>
      <c r="S144" s="83">
        <f t="shared" si="38"/>
        <v>20.711883626576885</v>
      </c>
      <c r="T144" s="83">
        <f t="shared" si="38"/>
        <v>20.862141603999028</v>
      </c>
      <c r="U144" s="83">
        <f t="shared" si="38"/>
        <v>21.012399581421171</v>
      </c>
      <c r="V144" s="83">
        <f t="shared" si="38"/>
        <v>21.162657558843318</v>
      </c>
      <c r="W144" s="83">
        <f t="shared" si="38"/>
        <v>21.312915536265457</v>
      </c>
      <c r="X144" s="83">
        <f t="shared" si="38"/>
        <v>21.463173513687604</v>
      </c>
      <c r="Y144" s="83">
        <f t="shared" si="38"/>
        <v>21.61343149110975</v>
      </c>
      <c r="Z144" s="83">
        <f t="shared" si="38"/>
        <v>21.76368946853189</v>
      </c>
      <c r="AA144" s="83">
        <f t="shared" si="38"/>
        <v>21.913947445954037</v>
      </c>
      <c r="AB144" s="83">
        <f t="shared" si="38"/>
        <v>22.064205423376183</v>
      </c>
      <c r="AC144" s="292">
        <f t="shared" si="38"/>
        <v>22.214463400798326</v>
      </c>
      <c r="AD144" s="378">
        <f t="shared" si="30"/>
        <v>448.09256718573562</v>
      </c>
    </row>
    <row r="145" spans="1:30" s="112" customFormat="1" ht="12">
      <c r="A145" s="109"/>
      <c r="B145" s="109"/>
      <c r="C145" s="110"/>
      <c r="D145" s="227"/>
      <c r="E145" s="235"/>
      <c r="F145" s="111"/>
      <c r="G145" s="111"/>
      <c r="H145" s="111"/>
      <c r="I145" s="111"/>
      <c r="J145" s="111"/>
      <c r="K145" s="111"/>
      <c r="L145" s="111"/>
      <c r="M145" s="111"/>
      <c r="N145" s="111"/>
      <c r="O145" s="111"/>
      <c r="P145" s="111"/>
      <c r="Q145" s="111"/>
      <c r="R145" s="111"/>
      <c r="S145" s="111"/>
      <c r="T145" s="111"/>
      <c r="U145" s="111"/>
      <c r="V145" s="111"/>
      <c r="W145" s="111"/>
      <c r="X145" s="111"/>
      <c r="Y145" s="111"/>
      <c r="Z145" s="111"/>
      <c r="AC145" s="282"/>
      <c r="AD145" s="360">
        <f t="shared" si="30"/>
        <v>0</v>
      </c>
    </row>
    <row r="146" spans="1:30" s="112" customFormat="1" ht="12">
      <c r="A146" s="58" t="s">
        <v>361</v>
      </c>
      <c r="B146" s="58"/>
      <c r="C146" s="110"/>
      <c r="D146" s="227"/>
      <c r="E146" s="235"/>
      <c r="F146" s="111"/>
      <c r="G146" s="111"/>
      <c r="H146" s="111"/>
      <c r="I146" s="111"/>
      <c r="J146" s="111"/>
      <c r="K146" s="111"/>
      <c r="L146" s="111"/>
      <c r="M146" s="111"/>
      <c r="N146" s="111"/>
      <c r="O146" s="111"/>
      <c r="P146" s="111"/>
      <c r="Q146" s="111"/>
      <c r="R146" s="111"/>
      <c r="S146" s="111"/>
      <c r="T146" s="111"/>
      <c r="U146" s="111"/>
      <c r="V146" s="111"/>
      <c r="W146" s="111"/>
      <c r="X146" s="111"/>
      <c r="Y146" s="111"/>
      <c r="Z146" s="111"/>
      <c r="AC146" s="282"/>
      <c r="AD146" s="360">
        <f t="shared" si="30"/>
        <v>0</v>
      </c>
    </row>
    <row r="147" spans="1:30" s="112" customFormat="1" ht="12">
      <c r="A147" s="58"/>
      <c r="B147" s="58"/>
      <c r="C147" s="46" t="s">
        <v>39</v>
      </c>
      <c r="D147" s="229"/>
      <c r="E147" s="236"/>
      <c r="F147" s="45"/>
      <c r="G147" s="111"/>
      <c r="H147" s="111"/>
      <c r="I147" s="111"/>
      <c r="J147" s="111"/>
      <c r="K147" s="111"/>
      <c r="L147" s="111"/>
      <c r="M147" s="111"/>
      <c r="N147" s="111"/>
      <c r="O147" s="111"/>
      <c r="P147" s="111"/>
      <c r="Q147" s="111"/>
      <c r="R147" s="111"/>
      <c r="S147" s="111"/>
      <c r="T147" s="111"/>
      <c r="U147" s="111"/>
      <c r="V147" s="111"/>
      <c r="W147" s="111"/>
      <c r="X147" s="111"/>
      <c r="Y147" s="111"/>
      <c r="Z147" s="111"/>
      <c r="AC147" s="282"/>
      <c r="AD147" s="360">
        <f t="shared" si="30"/>
        <v>0</v>
      </c>
    </row>
    <row r="148" spans="1:30" s="112" customFormat="1" ht="12">
      <c r="A148" s="58"/>
      <c r="B148" s="58" t="s">
        <v>228</v>
      </c>
      <c r="D148" s="229"/>
      <c r="E148" s="236"/>
      <c r="F148" s="45"/>
      <c r="G148" s="111"/>
      <c r="H148" s="111"/>
      <c r="I148" s="111"/>
      <c r="J148" s="111"/>
      <c r="K148" s="111"/>
      <c r="L148" s="111"/>
      <c r="M148" s="111"/>
      <c r="N148" s="111"/>
      <c r="O148" s="111"/>
      <c r="P148" s="111"/>
      <c r="Q148" s="111"/>
      <c r="R148" s="111"/>
      <c r="S148" s="111"/>
      <c r="T148" s="111"/>
      <c r="U148" s="111"/>
      <c r="V148" s="111"/>
      <c r="W148" s="111"/>
      <c r="X148" s="111"/>
      <c r="Y148" s="111"/>
      <c r="Z148" s="111"/>
      <c r="AC148" s="282"/>
      <c r="AD148" s="360">
        <f t="shared" si="30"/>
        <v>0</v>
      </c>
    </row>
    <row r="149" spans="1:30" s="112" customFormat="1" ht="12">
      <c r="A149" s="58"/>
      <c r="B149" s="468" t="s">
        <v>609</v>
      </c>
      <c r="C149" s="78" t="s">
        <v>580</v>
      </c>
      <c r="D149" s="229"/>
      <c r="E149" s="236"/>
      <c r="F149" s="45"/>
      <c r="G149" s="111"/>
      <c r="H149" s="111"/>
      <c r="I149" s="55"/>
      <c r="J149" s="55"/>
      <c r="K149" s="55"/>
      <c r="L149" s="55"/>
      <c r="M149" s="55"/>
      <c r="N149" s="55"/>
      <c r="O149" s="55"/>
      <c r="P149" s="55"/>
      <c r="Q149" s="55"/>
      <c r="R149" s="55"/>
      <c r="S149" s="55"/>
      <c r="T149" s="55"/>
      <c r="U149" s="55"/>
      <c r="V149" s="55"/>
      <c r="W149" s="55"/>
      <c r="X149" s="55"/>
      <c r="Y149" s="55"/>
      <c r="Z149" s="55"/>
      <c r="AA149" s="55"/>
      <c r="AB149" s="55"/>
      <c r="AC149" s="290"/>
      <c r="AD149" s="376">
        <f t="shared" si="30"/>
        <v>0</v>
      </c>
    </row>
    <row r="150" spans="1:30" s="112" customFormat="1" ht="12">
      <c r="A150" s="58"/>
      <c r="C150" s="78" t="s">
        <v>559</v>
      </c>
      <c r="D150" s="229">
        <f>'Mode Operating Assumptions'!D191</f>
        <v>8.2555465307736857E-8</v>
      </c>
      <c r="E150" s="236"/>
      <c r="F150" s="55">
        <f t="shared" ref="F150:AC150" si="39">$D$150*(F$11+F$12)</f>
        <v>0</v>
      </c>
      <c r="G150" s="55">
        <f t="shared" si="39"/>
        <v>0</v>
      </c>
      <c r="H150" s="55">
        <f t="shared" si="39"/>
        <v>2.2865416802615893E-3</v>
      </c>
      <c r="I150" s="55">
        <f t="shared" si="39"/>
        <v>2.3434096970756653E-3</v>
      </c>
      <c r="J150" s="55">
        <f t="shared" si="39"/>
        <v>2.4002777138897409E-3</v>
      </c>
      <c r="K150" s="55">
        <f t="shared" si="39"/>
        <v>2.4571457307038173E-3</v>
      </c>
      <c r="L150" s="55">
        <f t="shared" si="39"/>
        <v>2.5140137475178925E-3</v>
      </c>
      <c r="M150" s="55">
        <f t="shared" si="39"/>
        <v>2.5708817643319694E-3</v>
      </c>
      <c r="N150" s="55">
        <f t="shared" si="39"/>
        <v>2.627749781146045E-3</v>
      </c>
      <c r="O150" s="55">
        <f t="shared" si="39"/>
        <v>2.6475307742587803E-3</v>
      </c>
      <c r="P150" s="55">
        <f t="shared" si="39"/>
        <v>2.6673117673715161E-3</v>
      </c>
      <c r="Q150" s="55">
        <f t="shared" si="39"/>
        <v>2.6870927604842501E-3</v>
      </c>
      <c r="R150" s="55">
        <f t="shared" si="39"/>
        <v>2.7068737535969867E-3</v>
      </c>
      <c r="S150" s="55">
        <f t="shared" si="39"/>
        <v>2.7266547467097216E-3</v>
      </c>
      <c r="T150" s="55">
        <f t="shared" si="39"/>
        <v>2.7464357398224565E-3</v>
      </c>
      <c r="U150" s="55">
        <f t="shared" si="39"/>
        <v>2.7662167329351914E-3</v>
      </c>
      <c r="V150" s="55">
        <f t="shared" si="39"/>
        <v>2.7859977260479268E-3</v>
      </c>
      <c r="W150" s="55">
        <f t="shared" si="39"/>
        <v>2.8057787191606621E-3</v>
      </c>
      <c r="X150" s="55">
        <f t="shared" si="39"/>
        <v>2.8255597122733979E-3</v>
      </c>
      <c r="Y150" s="55">
        <f t="shared" si="39"/>
        <v>2.8453407053861328E-3</v>
      </c>
      <c r="Z150" s="55">
        <f t="shared" si="39"/>
        <v>2.8651216984988681E-3</v>
      </c>
      <c r="AA150" s="55">
        <f t="shared" si="39"/>
        <v>2.8849026916116034E-3</v>
      </c>
      <c r="AB150" s="55">
        <f t="shared" si="39"/>
        <v>2.9046836847243388E-3</v>
      </c>
      <c r="AC150" s="290">
        <f t="shared" si="39"/>
        <v>2.9244646778370745E-3</v>
      </c>
      <c r="AD150" s="376">
        <f t="shared" si="30"/>
        <v>5.8989986005645631E-2</v>
      </c>
    </row>
    <row r="151" spans="1:30" s="112" customFormat="1" ht="12">
      <c r="A151" s="58"/>
      <c r="C151" s="49" t="s">
        <v>40</v>
      </c>
      <c r="D151" s="328">
        <f>-'Mode Operating Assumptions'!C181</f>
        <v>-6200000</v>
      </c>
      <c r="E151" s="236"/>
      <c r="F151" s="275">
        <f>F150*$D$151</f>
        <v>0</v>
      </c>
      <c r="G151" s="275">
        <f t="shared" ref="G151:AC151" si="40">G150*$D$151</f>
        <v>0</v>
      </c>
      <c r="H151" s="275">
        <f t="shared" si="40"/>
        <v>-14176.558417621853</v>
      </c>
      <c r="I151" s="275">
        <f t="shared" si="40"/>
        <v>-14529.140121869124</v>
      </c>
      <c r="J151" s="275">
        <f t="shared" si="40"/>
        <v>-14881.721826116393</v>
      </c>
      <c r="K151" s="275">
        <f t="shared" si="40"/>
        <v>-15234.303530363668</v>
      </c>
      <c r="L151" s="275">
        <f t="shared" si="40"/>
        <v>-15586.885234610932</v>
      </c>
      <c r="M151" s="275">
        <f t="shared" si="40"/>
        <v>-15939.46693885821</v>
      </c>
      <c r="N151" s="275">
        <f t="shared" si="40"/>
        <v>-16292.048643105478</v>
      </c>
      <c r="O151" s="275">
        <f t="shared" si="40"/>
        <v>-16414.690800404438</v>
      </c>
      <c r="P151" s="275">
        <f t="shared" si="40"/>
        <v>-16537.332957703398</v>
      </c>
      <c r="Q151" s="275">
        <f t="shared" si="40"/>
        <v>-16659.975115002351</v>
      </c>
      <c r="R151" s="275">
        <f t="shared" si="40"/>
        <v>-16782.617272301319</v>
      </c>
      <c r="S151" s="275">
        <f t="shared" si="40"/>
        <v>-16905.259429600275</v>
      </c>
      <c r="T151" s="275">
        <f t="shared" si="40"/>
        <v>-17027.901586899232</v>
      </c>
      <c r="U151" s="275">
        <f t="shared" si="40"/>
        <v>-17150.543744198189</v>
      </c>
      <c r="V151" s="275">
        <f t="shared" si="40"/>
        <v>-17273.185901497145</v>
      </c>
      <c r="W151" s="275">
        <f t="shared" si="40"/>
        <v>-17395.828058796105</v>
      </c>
      <c r="X151" s="275">
        <f t="shared" si="40"/>
        <v>-17518.470216095066</v>
      </c>
      <c r="Y151" s="275">
        <f t="shared" si="40"/>
        <v>-17641.112373394022</v>
      </c>
      <c r="Z151" s="275">
        <f t="shared" si="40"/>
        <v>-17763.754530692982</v>
      </c>
      <c r="AA151" s="275">
        <f t="shared" si="40"/>
        <v>-17886.396687991943</v>
      </c>
      <c r="AB151" s="275">
        <f t="shared" si="40"/>
        <v>-18009.038845290899</v>
      </c>
      <c r="AC151" s="275">
        <f t="shared" si="40"/>
        <v>-18131.681002589863</v>
      </c>
      <c r="AD151" s="383">
        <f t="shared" si="30"/>
        <v>-365737.91323500284</v>
      </c>
    </row>
    <row r="152" spans="1:30" s="112" customFormat="1" ht="12">
      <c r="A152" s="58"/>
      <c r="C152" s="78" t="s">
        <v>560</v>
      </c>
      <c r="D152" s="229">
        <f>'Mode Operating Assumptions'!D192</f>
        <v>2.5164317528336415E-6</v>
      </c>
      <c r="E152" s="236"/>
      <c r="F152" s="55">
        <f t="shared" ref="F152:AC152" si="41">$D$152*(F$11+F$12)</f>
        <v>0</v>
      </c>
      <c r="G152" s="55">
        <f t="shared" si="41"/>
        <v>0</v>
      </c>
      <c r="H152" s="55">
        <f t="shared" si="41"/>
        <v>6.9697700411950919E-2</v>
      </c>
      <c r="I152" s="55">
        <f t="shared" si="41"/>
        <v>7.1431134809033847E-2</v>
      </c>
      <c r="J152" s="55">
        <f t="shared" si="41"/>
        <v>7.3164569206116789E-2</v>
      </c>
      <c r="K152" s="55">
        <f t="shared" si="41"/>
        <v>7.4898003603199731E-2</v>
      </c>
      <c r="L152" s="55">
        <f t="shared" si="41"/>
        <v>7.6631438000282645E-2</v>
      </c>
      <c r="M152" s="55">
        <f t="shared" si="41"/>
        <v>7.8364872397365615E-2</v>
      </c>
      <c r="N152" s="55">
        <f t="shared" si="41"/>
        <v>8.0098306794448543E-2</v>
      </c>
      <c r="O152" s="55">
        <f t="shared" si="41"/>
        <v>8.0701265290120727E-2</v>
      </c>
      <c r="P152" s="55">
        <f t="shared" si="41"/>
        <v>8.130422378579294E-2</v>
      </c>
      <c r="Q152" s="55">
        <f t="shared" si="41"/>
        <v>8.1907182281465096E-2</v>
      </c>
      <c r="R152" s="55">
        <f t="shared" si="41"/>
        <v>8.2510140777137322E-2</v>
      </c>
      <c r="S152" s="55">
        <f t="shared" si="41"/>
        <v>8.3113099272809493E-2</v>
      </c>
      <c r="T152" s="55">
        <f t="shared" si="41"/>
        <v>8.3716057768481678E-2</v>
      </c>
      <c r="U152" s="55">
        <f t="shared" si="41"/>
        <v>8.4319016264153848E-2</v>
      </c>
      <c r="V152" s="55">
        <f t="shared" si="41"/>
        <v>8.4921974759826047E-2</v>
      </c>
      <c r="W152" s="55">
        <f t="shared" si="41"/>
        <v>8.5524933255498231E-2</v>
      </c>
      <c r="X152" s="55">
        <f t="shared" si="41"/>
        <v>8.6127891751170443E-2</v>
      </c>
      <c r="Y152" s="55">
        <f t="shared" si="41"/>
        <v>8.6730850246842614E-2</v>
      </c>
      <c r="Z152" s="55">
        <f t="shared" si="41"/>
        <v>8.7333808742514799E-2</v>
      </c>
      <c r="AA152" s="55">
        <f t="shared" si="41"/>
        <v>8.7936767238186997E-2</v>
      </c>
      <c r="AB152" s="55">
        <f t="shared" si="41"/>
        <v>8.8539725733859181E-2</v>
      </c>
      <c r="AC152" s="290">
        <f t="shared" si="41"/>
        <v>8.9142684229531394E-2</v>
      </c>
      <c r="AD152" s="376">
        <f t="shared" si="30"/>
        <v>1.798115646619789</v>
      </c>
    </row>
    <row r="153" spans="1:30" s="112" customFormat="1" ht="12">
      <c r="A153" s="58"/>
      <c r="C153" s="49" t="s">
        <v>41</v>
      </c>
      <c r="D153" s="328">
        <f>-'Mode Operating Assumptions'!C177</f>
        <v>-291400</v>
      </c>
      <c r="E153" s="236"/>
      <c r="F153" s="275">
        <f>F152*$D$153</f>
        <v>0</v>
      </c>
      <c r="G153" s="275">
        <f t="shared" ref="G153:AC153" si="42">G152*$D$153</f>
        <v>0</v>
      </c>
      <c r="H153" s="275">
        <f t="shared" si="42"/>
        <v>-20309.909900042498</v>
      </c>
      <c r="I153" s="275">
        <f t="shared" si="42"/>
        <v>-20815.032683352463</v>
      </c>
      <c r="J153" s="275">
        <f t="shared" si="42"/>
        <v>-21320.155466662432</v>
      </c>
      <c r="K153" s="275">
        <f t="shared" si="42"/>
        <v>-21825.278249972402</v>
      </c>
      <c r="L153" s="275">
        <f t="shared" si="42"/>
        <v>-22330.401033282364</v>
      </c>
      <c r="M153" s="275">
        <f t="shared" si="42"/>
        <v>-22835.52381659234</v>
      </c>
      <c r="N153" s="275">
        <f t="shared" si="42"/>
        <v>-23340.646599902306</v>
      </c>
      <c r="O153" s="275">
        <f t="shared" si="42"/>
        <v>-23516.348705541179</v>
      </c>
      <c r="P153" s="275">
        <f t="shared" si="42"/>
        <v>-23692.050811180063</v>
      </c>
      <c r="Q153" s="275">
        <f t="shared" si="42"/>
        <v>-23867.752916818928</v>
      </c>
      <c r="R153" s="275">
        <f t="shared" si="42"/>
        <v>-24043.455022457816</v>
      </c>
      <c r="S153" s="275">
        <f t="shared" si="42"/>
        <v>-24219.157128096685</v>
      </c>
      <c r="T153" s="275">
        <f t="shared" si="42"/>
        <v>-24394.859233735562</v>
      </c>
      <c r="U153" s="275">
        <f t="shared" si="42"/>
        <v>-24570.561339374432</v>
      </c>
      <c r="V153" s="275">
        <f t="shared" si="42"/>
        <v>-24746.263445013308</v>
      </c>
      <c r="W153" s="275">
        <f t="shared" si="42"/>
        <v>-24921.965550652185</v>
      </c>
      <c r="X153" s="275">
        <f t="shared" si="42"/>
        <v>-25097.667656291069</v>
      </c>
      <c r="Y153" s="275">
        <f t="shared" si="42"/>
        <v>-25273.369761929938</v>
      </c>
      <c r="Z153" s="275">
        <f t="shared" si="42"/>
        <v>-25449.071867568811</v>
      </c>
      <c r="AA153" s="275">
        <f t="shared" si="42"/>
        <v>-25624.773973207692</v>
      </c>
      <c r="AB153" s="275">
        <f t="shared" si="42"/>
        <v>-25800.476078846565</v>
      </c>
      <c r="AC153" s="288">
        <f t="shared" si="42"/>
        <v>-25976.178184485449</v>
      </c>
      <c r="AD153" s="383">
        <f t="shared" si="30"/>
        <v>-523970.89942500647</v>
      </c>
    </row>
    <row r="154" spans="1:30" s="112" customFormat="1" ht="12">
      <c r="A154" s="58"/>
      <c r="C154" s="49"/>
      <c r="D154" s="328"/>
      <c r="E154" s="236"/>
      <c r="F154" s="275"/>
      <c r="G154" s="275"/>
      <c r="H154" s="275"/>
      <c r="I154" s="275"/>
      <c r="J154" s="275"/>
      <c r="K154" s="275"/>
      <c r="L154" s="275"/>
      <c r="M154" s="275"/>
      <c r="N154" s="275"/>
      <c r="O154" s="275"/>
      <c r="P154" s="275"/>
      <c r="Q154" s="275"/>
      <c r="R154" s="275"/>
      <c r="S154" s="275"/>
      <c r="T154" s="275"/>
      <c r="U154" s="275"/>
      <c r="V154" s="275"/>
      <c r="W154" s="275"/>
      <c r="X154" s="275"/>
      <c r="Y154" s="275"/>
      <c r="Z154" s="275"/>
      <c r="AA154" s="275"/>
      <c r="AB154" s="275"/>
      <c r="AC154" s="288"/>
      <c r="AD154" s="383"/>
    </row>
    <row r="155" spans="1:30" s="112" customFormat="1" ht="12">
      <c r="A155" s="58"/>
      <c r="B155" s="469" t="s">
        <v>610</v>
      </c>
      <c r="C155" s="78" t="s">
        <v>608</v>
      </c>
      <c r="D155" s="467">
        <v>-0.2</v>
      </c>
      <c r="E155" s="236"/>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283"/>
      <c r="AD155" s="360">
        <f>SUM(F155:AC155)</f>
        <v>0</v>
      </c>
    </row>
    <row r="156" spans="1:30" s="112" customFormat="1" ht="12">
      <c r="A156" s="58"/>
      <c r="B156" s="58"/>
      <c r="C156" s="78" t="s">
        <v>559</v>
      </c>
      <c r="D156" s="229">
        <f>D150*D$155</f>
        <v>-1.6511093061547371E-8</v>
      </c>
      <c r="E156" s="236"/>
      <c r="F156" s="55">
        <f>$D156*(F$15+F$16+F$17)</f>
        <v>0</v>
      </c>
      <c r="G156" s="55">
        <f t="shared" ref="G156:AC156" si="43">$D156*(G$15+G$16+G$17)</f>
        <v>0</v>
      </c>
      <c r="H156" s="55">
        <f t="shared" si="43"/>
        <v>-5.5338327961865284E-4</v>
      </c>
      <c r="I156" s="55">
        <f t="shared" si="43"/>
        <v>-5.6714633931777964E-4</v>
      </c>
      <c r="J156" s="55">
        <f t="shared" si="43"/>
        <v>-5.8090939901690643E-4</v>
      </c>
      <c r="K156" s="55">
        <f t="shared" si="43"/>
        <v>-5.9467245871603334E-4</v>
      </c>
      <c r="L156" s="55">
        <f t="shared" si="43"/>
        <v>-6.0843551841515992E-4</v>
      </c>
      <c r="M156" s="55">
        <f t="shared" si="43"/>
        <v>-6.2219857811428693E-4</v>
      </c>
      <c r="N156" s="55">
        <f t="shared" si="43"/>
        <v>-6.3596163781341384E-4</v>
      </c>
      <c r="O156" s="55">
        <f t="shared" si="43"/>
        <v>-6.4074898585842605E-4</v>
      </c>
      <c r="P156" s="55">
        <f t="shared" si="43"/>
        <v>-6.4553633390343858E-4</v>
      </c>
      <c r="Q156" s="55">
        <f t="shared" si="43"/>
        <v>-6.5032368194845069E-4</v>
      </c>
      <c r="R156" s="55">
        <f t="shared" si="43"/>
        <v>-6.551110299934629E-4</v>
      </c>
      <c r="S156" s="55">
        <f t="shared" si="43"/>
        <v>-6.5989837803847532E-4</v>
      </c>
      <c r="T156" s="55">
        <f t="shared" si="43"/>
        <v>-6.6468572608348753E-4</v>
      </c>
      <c r="U156" s="55">
        <f t="shared" si="43"/>
        <v>-6.6947307412849985E-4</v>
      </c>
      <c r="V156" s="55">
        <f t="shared" si="43"/>
        <v>-6.7426042217351217E-4</v>
      </c>
      <c r="W156" s="55">
        <f t="shared" si="43"/>
        <v>-6.7904777021852427E-4</v>
      </c>
      <c r="X156" s="55">
        <f t="shared" si="43"/>
        <v>-6.8383511826353681E-4</v>
      </c>
      <c r="Y156" s="55">
        <f t="shared" si="43"/>
        <v>-6.8862246630854913E-4</v>
      </c>
      <c r="Z156" s="55">
        <f t="shared" si="43"/>
        <v>-6.9340981435356123E-4</v>
      </c>
      <c r="AA156" s="55">
        <f t="shared" si="43"/>
        <v>-6.9819716239857366E-4</v>
      </c>
      <c r="AB156" s="55">
        <f t="shared" si="43"/>
        <v>-7.0298451044358587E-4</v>
      </c>
      <c r="AC156" s="290">
        <f t="shared" si="43"/>
        <v>-7.0777185848859808E-4</v>
      </c>
      <c r="AD156" s="361">
        <f>SUM(F156:AC156)</f>
        <v>-1.4276613543614914E-2</v>
      </c>
    </row>
    <row r="157" spans="1:30" s="112" customFormat="1" ht="12">
      <c r="A157" s="58"/>
      <c r="B157" s="58"/>
      <c r="C157" s="49" t="s">
        <v>40</v>
      </c>
      <c r="D157" s="328">
        <f>D151</f>
        <v>-6200000</v>
      </c>
      <c r="E157" s="236"/>
      <c r="F157" s="337">
        <f>F156*$D$170</f>
        <v>0</v>
      </c>
      <c r="G157" s="337">
        <f t="shared" ref="G157:AC157" si="44">G156*$D$170</f>
        <v>0</v>
      </c>
      <c r="H157" s="337">
        <f t="shared" si="44"/>
        <v>3430.9763336356477</v>
      </c>
      <c r="I157" s="337">
        <f t="shared" si="44"/>
        <v>3516.3073037702338</v>
      </c>
      <c r="J157" s="337">
        <f t="shared" si="44"/>
        <v>3601.6382739048199</v>
      </c>
      <c r="K157" s="337">
        <f t="shared" si="44"/>
        <v>3686.9692440394069</v>
      </c>
      <c r="L157" s="337">
        <f t="shared" si="44"/>
        <v>3772.3002141739917</v>
      </c>
      <c r="M157" s="337">
        <f t="shared" si="44"/>
        <v>3857.6311843085791</v>
      </c>
      <c r="N157" s="337">
        <f t="shared" si="44"/>
        <v>3942.9621544431657</v>
      </c>
      <c r="O157" s="337">
        <f t="shared" si="44"/>
        <v>3972.6437123222413</v>
      </c>
      <c r="P157" s="337">
        <f t="shared" si="44"/>
        <v>4002.3252702013192</v>
      </c>
      <c r="Q157" s="337">
        <f t="shared" si="44"/>
        <v>4032.0068280803944</v>
      </c>
      <c r="R157" s="337">
        <f t="shared" si="44"/>
        <v>4061.68838595947</v>
      </c>
      <c r="S157" s="337">
        <f t="shared" si="44"/>
        <v>4091.369943838547</v>
      </c>
      <c r="T157" s="337">
        <f t="shared" si="44"/>
        <v>4121.0515017176231</v>
      </c>
      <c r="U157" s="337">
        <f t="shared" si="44"/>
        <v>4150.7330595966987</v>
      </c>
      <c r="V157" s="337">
        <f t="shared" si="44"/>
        <v>4180.4146174757752</v>
      </c>
      <c r="W157" s="337">
        <f t="shared" si="44"/>
        <v>4210.0961753548509</v>
      </c>
      <c r="X157" s="337">
        <f t="shared" si="44"/>
        <v>4239.7777332339283</v>
      </c>
      <c r="Y157" s="337">
        <f t="shared" si="44"/>
        <v>4269.4592911130048</v>
      </c>
      <c r="Z157" s="337">
        <f t="shared" si="44"/>
        <v>4299.1408489920796</v>
      </c>
      <c r="AA157" s="337">
        <f t="shared" si="44"/>
        <v>4328.822406871157</v>
      </c>
      <c r="AB157" s="337">
        <f t="shared" si="44"/>
        <v>4358.5039647502326</v>
      </c>
      <c r="AC157" s="414">
        <f t="shared" si="44"/>
        <v>4388.1855226293083</v>
      </c>
      <c r="AD157" s="382">
        <f>SUM(F157:AC157)</f>
        <v>88515.003970412479</v>
      </c>
    </row>
    <row r="158" spans="1:30" s="112" customFormat="1" ht="12">
      <c r="A158" s="58"/>
      <c r="B158" s="58"/>
      <c r="C158" s="78" t="s">
        <v>560</v>
      </c>
      <c r="D158" s="229">
        <f>D152*D$155</f>
        <v>-5.032863505667283E-7</v>
      </c>
      <c r="E158" s="236"/>
      <c r="F158" s="55">
        <f>$D158*(F$15+F$16+F$17)</f>
        <v>0</v>
      </c>
      <c r="G158" s="55">
        <f t="shared" ref="G158:AC158" si="45">$D158*(G$15+G$16+G$17)</f>
        <v>0</v>
      </c>
      <c r="H158" s="55">
        <f t="shared" si="45"/>
        <v>-1.686806865092056E-2</v>
      </c>
      <c r="I158" s="55">
        <f t="shared" si="45"/>
        <v>-1.7287590245450072E-2</v>
      </c>
      <c r="J158" s="55">
        <f t="shared" si="45"/>
        <v>-1.7707111839979583E-2</v>
      </c>
      <c r="K158" s="55">
        <f t="shared" si="45"/>
        <v>-1.8126633434509102E-2</v>
      </c>
      <c r="L158" s="55">
        <f t="shared" si="45"/>
        <v>-1.854615502903861E-2</v>
      </c>
      <c r="M158" s="55">
        <f t="shared" si="45"/>
        <v>-1.8965676623568128E-2</v>
      </c>
      <c r="N158" s="55">
        <f t="shared" si="45"/>
        <v>-1.9385198218097647E-2</v>
      </c>
      <c r="O158" s="55">
        <f t="shared" si="45"/>
        <v>-1.9531124772898444E-2</v>
      </c>
      <c r="P158" s="55">
        <f t="shared" si="45"/>
        <v>-1.9677051327699251E-2</v>
      </c>
      <c r="Q158" s="55">
        <f t="shared" si="45"/>
        <v>-1.9822977882500044E-2</v>
      </c>
      <c r="R158" s="55">
        <f t="shared" si="45"/>
        <v>-1.9968904437300844E-2</v>
      </c>
      <c r="S158" s="55">
        <f t="shared" si="45"/>
        <v>-2.0114830992101644E-2</v>
      </c>
      <c r="T158" s="55">
        <f t="shared" si="45"/>
        <v>-2.0260757546902444E-2</v>
      </c>
      <c r="U158" s="55">
        <f t="shared" si="45"/>
        <v>-2.0406684101703241E-2</v>
      </c>
      <c r="V158" s="55">
        <f t="shared" si="45"/>
        <v>-2.0552610656504045E-2</v>
      </c>
      <c r="W158" s="55">
        <f t="shared" si="45"/>
        <v>-2.0698537211304838E-2</v>
      </c>
      <c r="X158" s="55">
        <f t="shared" si="45"/>
        <v>-2.0844463766105645E-2</v>
      </c>
      <c r="Y158" s="55">
        <f t="shared" si="45"/>
        <v>-2.0990390320906445E-2</v>
      </c>
      <c r="Z158" s="55">
        <f t="shared" si="45"/>
        <v>-2.1136316875707242E-2</v>
      </c>
      <c r="AA158" s="55">
        <f t="shared" si="45"/>
        <v>-2.1282243430508042E-2</v>
      </c>
      <c r="AB158" s="55">
        <f t="shared" si="45"/>
        <v>-2.1428169985308842E-2</v>
      </c>
      <c r="AC158" s="290">
        <f t="shared" si="45"/>
        <v>-2.1574096540109639E-2</v>
      </c>
      <c r="AD158" s="361">
        <f>SUM(F158:AC158)</f>
        <v>-0.43517559388912441</v>
      </c>
    </row>
    <row r="159" spans="1:30" s="112" customFormat="1" ht="12">
      <c r="A159" s="58"/>
      <c r="B159" s="58"/>
      <c r="C159" s="49" t="s">
        <v>41</v>
      </c>
      <c r="D159" s="328">
        <f>D153</f>
        <v>-291400</v>
      </c>
      <c r="E159" s="236"/>
      <c r="F159" s="337">
        <f>F158*$D$172</f>
        <v>0</v>
      </c>
      <c r="G159" s="337">
        <f t="shared" ref="G159:AC159" si="46">G158*$D$172</f>
        <v>0</v>
      </c>
      <c r="H159" s="337">
        <f t="shared" si="46"/>
        <v>4915.3552048782512</v>
      </c>
      <c r="I159" s="337">
        <f t="shared" si="46"/>
        <v>5037.6037975241507</v>
      </c>
      <c r="J159" s="337">
        <f t="shared" si="46"/>
        <v>5159.852390170051</v>
      </c>
      <c r="K159" s="337">
        <f t="shared" si="46"/>
        <v>5282.1009828159522</v>
      </c>
      <c r="L159" s="337">
        <f t="shared" si="46"/>
        <v>5404.3495754618507</v>
      </c>
      <c r="M159" s="337">
        <f t="shared" si="46"/>
        <v>5526.5981681077528</v>
      </c>
      <c r="N159" s="337">
        <f t="shared" si="46"/>
        <v>5648.8467607536541</v>
      </c>
      <c r="O159" s="337">
        <f t="shared" si="46"/>
        <v>5691.3697588226069</v>
      </c>
      <c r="P159" s="337">
        <f t="shared" si="46"/>
        <v>5733.8927568915615</v>
      </c>
      <c r="Q159" s="337">
        <f t="shared" si="46"/>
        <v>5776.4157549605125</v>
      </c>
      <c r="R159" s="337">
        <f t="shared" si="46"/>
        <v>5818.9387530294662</v>
      </c>
      <c r="S159" s="337">
        <f t="shared" si="46"/>
        <v>5861.461751098419</v>
      </c>
      <c r="T159" s="337">
        <f t="shared" si="46"/>
        <v>5903.9847491673727</v>
      </c>
      <c r="U159" s="337">
        <f t="shared" si="46"/>
        <v>5946.5077472363246</v>
      </c>
      <c r="V159" s="337">
        <f t="shared" si="46"/>
        <v>5989.0307453052783</v>
      </c>
      <c r="W159" s="337">
        <f t="shared" si="46"/>
        <v>6031.5537433742293</v>
      </c>
      <c r="X159" s="337">
        <f t="shared" si="46"/>
        <v>6074.0767414431848</v>
      </c>
      <c r="Y159" s="337">
        <f t="shared" si="46"/>
        <v>6116.5997395121376</v>
      </c>
      <c r="Z159" s="337">
        <f t="shared" si="46"/>
        <v>6159.1227375810904</v>
      </c>
      <c r="AA159" s="337">
        <f t="shared" si="46"/>
        <v>6201.6457356500432</v>
      </c>
      <c r="AB159" s="337">
        <f t="shared" si="46"/>
        <v>6244.1687337189969</v>
      </c>
      <c r="AC159" s="414">
        <f t="shared" si="46"/>
        <v>6286.6917317879488</v>
      </c>
      <c r="AD159" s="382">
        <f>SUM(F159:AC159)</f>
        <v>126810.16805929082</v>
      </c>
    </row>
    <row r="160" spans="1:30" s="112" customFormat="1" ht="12">
      <c r="A160" s="58"/>
      <c r="B160" s="58"/>
      <c r="C160" s="49"/>
      <c r="D160" s="328"/>
      <c r="E160" s="236"/>
      <c r="F160" s="337"/>
      <c r="G160" s="337"/>
      <c r="H160" s="337"/>
      <c r="I160" s="337"/>
      <c r="J160" s="337"/>
      <c r="K160" s="337"/>
      <c r="L160" s="337"/>
      <c r="M160" s="337"/>
      <c r="N160" s="337"/>
      <c r="O160" s="337"/>
      <c r="P160" s="337"/>
      <c r="Q160" s="337"/>
      <c r="R160" s="337"/>
      <c r="S160" s="337"/>
      <c r="T160" s="337"/>
      <c r="U160" s="337"/>
      <c r="V160" s="337"/>
      <c r="W160" s="337"/>
      <c r="X160" s="337"/>
      <c r="Y160" s="337"/>
      <c r="Z160" s="337"/>
      <c r="AA160" s="337"/>
      <c r="AB160" s="337"/>
      <c r="AC160" s="414"/>
      <c r="AD160" s="382"/>
    </row>
    <row r="161" spans="1:30" s="112" customFormat="1" ht="12">
      <c r="A161" s="58"/>
      <c r="B161" s="58" t="s">
        <v>225</v>
      </c>
      <c r="D161" s="229"/>
      <c r="E161" s="236"/>
      <c r="AC161" s="282"/>
      <c r="AD161" s="360">
        <f t="shared" si="30"/>
        <v>0</v>
      </c>
    </row>
    <row r="162" spans="1:30" s="112" customFormat="1" ht="12">
      <c r="A162" s="58"/>
      <c r="B162" s="468" t="s">
        <v>609</v>
      </c>
      <c r="C162" s="78" t="s">
        <v>535</v>
      </c>
      <c r="D162" s="229"/>
      <c r="E162" s="236"/>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290"/>
      <c r="AD162" s="376">
        <f t="shared" si="30"/>
        <v>0</v>
      </c>
    </row>
    <row r="163" spans="1:30" s="112" customFormat="1" ht="12">
      <c r="A163" s="58"/>
      <c r="C163" s="78" t="s">
        <v>559</v>
      </c>
      <c r="D163" s="229">
        <f>'Mode Operating Assumptions'!$D$197</f>
        <v>1.8722590666405648E-7</v>
      </c>
      <c r="E163" s="236"/>
      <c r="F163" s="55">
        <f t="shared" ref="F163:AC163" si="47">$D$163*(F$16+F$17)</f>
        <v>0</v>
      </c>
      <c r="G163" s="55">
        <f t="shared" si="47"/>
        <v>0</v>
      </c>
      <c r="H163" s="55">
        <f t="shared" si="47"/>
        <v>2.9881118877420185E-4</v>
      </c>
      <c r="I163" s="55">
        <f t="shared" si="47"/>
        <v>3.0624284849601425E-4</v>
      </c>
      <c r="J163" s="55">
        <f t="shared" si="47"/>
        <v>3.1367450821782666E-4</v>
      </c>
      <c r="K163" s="55">
        <f t="shared" si="47"/>
        <v>3.2110616793963912E-4</v>
      </c>
      <c r="L163" s="55">
        <f t="shared" si="47"/>
        <v>3.2853782766145142E-4</v>
      </c>
      <c r="M163" s="55">
        <f t="shared" si="47"/>
        <v>3.3596948738326388E-4</v>
      </c>
      <c r="N163" s="55">
        <f t="shared" si="47"/>
        <v>3.4340114710507634E-4</v>
      </c>
      <c r="O163" s="55">
        <f t="shared" si="47"/>
        <v>3.4598617851656341E-4</v>
      </c>
      <c r="P163" s="55">
        <f t="shared" si="47"/>
        <v>3.4857120992805063E-4</v>
      </c>
      <c r="Q163" s="55">
        <f t="shared" si="47"/>
        <v>3.5115624133953769E-4</v>
      </c>
      <c r="R163" s="55">
        <f t="shared" si="47"/>
        <v>3.5374127275102481E-4</v>
      </c>
      <c r="S163" s="55">
        <f t="shared" si="47"/>
        <v>3.5632630416251193E-4</v>
      </c>
      <c r="T163" s="55">
        <f t="shared" si="47"/>
        <v>3.5891133557399904E-4</v>
      </c>
      <c r="U163" s="55">
        <f t="shared" si="47"/>
        <v>3.614963669854861E-4</v>
      </c>
      <c r="V163" s="55">
        <f t="shared" si="47"/>
        <v>3.6408139839697327E-4</v>
      </c>
      <c r="W163" s="55">
        <f t="shared" si="47"/>
        <v>3.6666642980846034E-4</v>
      </c>
      <c r="X163" s="55">
        <f t="shared" si="47"/>
        <v>3.6925146121994745E-4</v>
      </c>
      <c r="Y163" s="55">
        <f t="shared" si="47"/>
        <v>3.7183649263143457E-4</v>
      </c>
      <c r="Z163" s="55">
        <f t="shared" si="47"/>
        <v>3.7442152404292163E-4</v>
      </c>
      <c r="AA163" s="55">
        <f t="shared" si="47"/>
        <v>3.770065554544088E-4</v>
      </c>
      <c r="AB163" s="55">
        <f t="shared" si="47"/>
        <v>3.7959158686589592E-4</v>
      </c>
      <c r="AC163" s="290">
        <f t="shared" si="47"/>
        <v>3.8217661827738303E-4</v>
      </c>
      <c r="AD163" s="376">
        <f t="shared" si="30"/>
        <v>7.7089641515320729E-3</v>
      </c>
    </row>
    <row r="164" spans="1:30" s="112" customFormat="1" ht="12">
      <c r="A164" s="58"/>
      <c r="C164" s="49" t="s">
        <v>40</v>
      </c>
      <c r="D164" s="328">
        <f>D151</f>
        <v>-6200000</v>
      </c>
      <c r="E164" s="236"/>
      <c r="F164" s="275">
        <f>F163*$D$164</f>
        <v>0</v>
      </c>
      <c r="G164" s="275">
        <f t="shared" ref="G164:AC164" si="48">G163*$D$164</f>
        <v>0</v>
      </c>
      <c r="H164" s="275">
        <f t="shared" si="48"/>
        <v>-1852.6293704000514</v>
      </c>
      <c r="I164" s="275">
        <f t="shared" si="48"/>
        <v>-1898.7056606752883</v>
      </c>
      <c r="J164" s="275">
        <f t="shared" si="48"/>
        <v>-1944.7819509505252</v>
      </c>
      <c r="K164" s="275">
        <f t="shared" si="48"/>
        <v>-1990.8582412257626</v>
      </c>
      <c r="L164" s="275">
        <f t="shared" si="48"/>
        <v>-2036.9345315009989</v>
      </c>
      <c r="M164" s="275">
        <f t="shared" si="48"/>
        <v>-2083.0108217762363</v>
      </c>
      <c r="N164" s="275">
        <f t="shared" si="48"/>
        <v>-2129.0871120514735</v>
      </c>
      <c r="O164" s="275">
        <f t="shared" si="48"/>
        <v>-2145.1143068026931</v>
      </c>
      <c r="P164" s="275">
        <f t="shared" si="48"/>
        <v>-2161.1415015539137</v>
      </c>
      <c r="Q164" s="275">
        <f t="shared" si="48"/>
        <v>-2177.1686963051338</v>
      </c>
      <c r="R164" s="275">
        <f t="shared" si="48"/>
        <v>-2193.195891056354</v>
      </c>
      <c r="S164" s="275">
        <f t="shared" si="48"/>
        <v>-2209.2230858075741</v>
      </c>
      <c r="T164" s="275">
        <f t="shared" si="48"/>
        <v>-2225.2502805587942</v>
      </c>
      <c r="U164" s="275">
        <f t="shared" si="48"/>
        <v>-2241.2774753100139</v>
      </c>
      <c r="V164" s="275">
        <f t="shared" si="48"/>
        <v>-2257.3046700612344</v>
      </c>
      <c r="W164" s="275">
        <f t="shared" si="48"/>
        <v>-2273.3318648124541</v>
      </c>
      <c r="X164" s="275">
        <f t="shared" si="48"/>
        <v>-2289.3590595636742</v>
      </c>
      <c r="Y164" s="275">
        <f t="shared" si="48"/>
        <v>-2305.3862543148944</v>
      </c>
      <c r="Z164" s="275">
        <f t="shared" si="48"/>
        <v>-2321.413449066114</v>
      </c>
      <c r="AA164" s="275">
        <f t="shared" si="48"/>
        <v>-2337.4406438173346</v>
      </c>
      <c r="AB164" s="275">
        <f t="shared" si="48"/>
        <v>-2353.4678385685547</v>
      </c>
      <c r="AC164" s="288">
        <f t="shared" si="48"/>
        <v>-2369.4950333197748</v>
      </c>
      <c r="AD164" s="369">
        <f t="shared" si="30"/>
        <v>-47795.577739498854</v>
      </c>
    </row>
    <row r="165" spans="1:30" s="112" customFormat="1" ht="12">
      <c r="A165" s="58"/>
      <c r="C165" s="78" t="s">
        <v>560</v>
      </c>
      <c r="D165" s="229">
        <f>'Mode Operating Assumptions'!$D$198</f>
        <v>8.7375046258002826E-6</v>
      </c>
      <c r="E165" s="236"/>
      <c r="F165" s="55">
        <f t="shared" ref="F165:AC165" si="49">$D$165*(F$16+F$17)</f>
        <v>0</v>
      </c>
      <c r="G165" s="55">
        <f t="shared" si="49"/>
        <v>0</v>
      </c>
      <c r="H165" s="55">
        <f t="shared" si="49"/>
        <v>1.3944993995089581E-2</v>
      </c>
      <c r="I165" s="55">
        <f t="shared" si="49"/>
        <v>1.4291816517430053E-2</v>
      </c>
      <c r="J165" s="55">
        <f t="shared" si="49"/>
        <v>1.4638639039770522E-2</v>
      </c>
      <c r="K165" s="55">
        <f t="shared" si="49"/>
        <v>1.4985461562110995E-2</v>
      </c>
      <c r="L165" s="55">
        <f t="shared" si="49"/>
        <v>1.5332284084451461E-2</v>
      </c>
      <c r="M165" s="55">
        <f t="shared" si="49"/>
        <v>1.5679106606791934E-2</v>
      </c>
      <c r="N165" s="55">
        <f t="shared" si="49"/>
        <v>1.6025929129132407E-2</v>
      </c>
      <c r="O165" s="55">
        <f t="shared" si="49"/>
        <v>1.6146568010354304E-2</v>
      </c>
      <c r="P165" s="55">
        <f t="shared" si="49"/>
        <v>1.6267206891576208E-2</v>
      </c>
      <c r="Q165" s="55">
        <f t="shared" si="49"/>
        <v>1.6387845772798108E-2</v>
      </c>
      <c r="R165" s="55">
        <f t="shared" si="49"/>
        <v>1.6508484654020009E-2</v>
      </c>
      <c r="S165" s="55">
        <f t="shared" si="49"/>
        <v>1.6629123535241909E-2</v>
      </c>
      <c r="T165" s="55">
        <f t="shared" si="49"/>
        <v>1.6749762416463809E-2</v>
      </c>
      <c r="U165" s="55">
        <f t="shared" si="49"/>
        <v>1.6870401297685706E-2</v>
      </c>
      <c r="V165" s="55">
        <f t="shared" si="49"/>
        <v>1.699104017890761E-2</v>
      </c>
      <c r="W165" s="55">
        <f t="shared" si="49"/>
        <v>1.7111679060129507E-2</v>
      </c>
      <c r="X165" s="55">
        <f t="shared" si="49"/>
        <v>1.7232317941351407E-2</v>
      </c>
      <c r="Y165" s="55">
        <f t="shared" si="49"/>
        <v>1.7352956822573307E-2</v>
      </c>
      <c r="Z165" s="55">
        <f t="shared" si="49"/>
        <v>1.7473595703795208E-2</v>
      </c>
      <c r="AA165" s="55">
        <f t="shared" si="49"/>
        <v>1.7594234585017108E-2</v>
      </c>
      <c r="AB165" s="55">
        <f t="shared" si="49"/>
        <v>1.7714873466239008E-2</v>
      </c>
      <c r="AC165" s="290">
        <f t="shared" si="49"/>
        <v>1.7835512347460909E-2</v>
      </c>
      <c r="AD165" s="376">
        <f t="shared" si="30"/>
        <v>0.35976383361839109</v>
      </c>
    </row>
    <row r="166" spans="1:30" s="112" customFormat="1" ht="12">
      <c r="A166" s="58"/>
      <c r="C166" s="49" t="s">
        <v>41</v>
      </c>
      <c r="D166" s="328">
        <f>D153</f>
        <v>-291400</v>
      </c>
      <c r="E166" s="236"/>
      <c r="F166" s="275">
        <f>F165*$D$166</f>
        <v>0</v>
      </c>
      <c r="G166" s="275">
        <f t="shared" ref="G166:AC166" si="50">G165*$D$166</f>
        <v>0</v>
      </c>
      <c r="H166" s="275">
        <f t="shared" si="50"/>
        <v>-4063.5712501691041</v>
      </c>
      <c r="I166" s="275">
        <f t="shared" si="50"/>
        <v>-4164.635333179117</v>
      </c>
      <c r="J166" s="275">
        <f t="shared" si="50"/>
        <v>-4265.6994161891298</v>
      </c>
      <c r="K166" s="275">
        <f t="shared" si="50"/>
        <v>-4366.7634991991436</v>
      </c>
      <c r="L166" s="275">
        <f t="shared" si="50"/>
        <v>-4467.8275822091555</v>
      </c>
      <c r="M166" s="275">
        <f t="shared" si="50"/>
        <v>-4568.8916652191692</v>
      </c>
      <c r="N166" s="275">
        <f t="shared" si="50"/>
        <v>-4669.9557482291839</v>
      </c>
      <c r="O166" s="275">
        <f t="shared" si="50"/>
        <v>-4705.1099182172438</v>
      </c>
      <c r="P166" s="275">
        <f t="shared" si="50"/>
        <v>-4740.2640882053074</v>
      </c>
      <c r="Q166" s="275">
        <f t="shared" si="50"/>
        <v>-4775.4182581933692</v>
      </c>
      <c r="R166" s="275">
        <f t="shared" si="50"/>
        <v>-4810.572428181431</v>
      </c>
      <c r="S166" s="275">
        <f t="shared" si="50"/>
        <v>-4845.7265981694927</v>
      </c>
      <c r="T166" s="275">
        <f t="shared" si="50"/>
        <v>-4880.8807681575536</v>
      </c>
      <c r="U166" s="275">
        <f t="shared" si="50"/>
        <v>-4916.0349381456144</v>
      </c>
      <c r="V166" s="275">
        <f t="shared" si="50"/>
        <v>-4951.1891081336771</v>
      </c>
      <c r="W166" s="275">
        <f t="shared" si="50"/>
        <v>-4986.343278121738</v>
      </c>
      <c r="X166" s="275">
        <f t="shared" si="50"/>
        <v>-5021.4974481097997</v>
      </c>
      <c r="Y166" s="275">
        <f t="shared" si="50"/>
        <v>-5056.6516180978615</v>
      </c>
      <c r="Z166" s="275">
        <f t="shared" si="50"/>
        <v>-5091.8057880859233</v>
      </c>
      <c r="AA166" s="275">
        <f t="shared" si="50"/>
        <v>-5126.959958073985</v>
      </c>
      <c r="AB166" s="275">
        <f t="shared" si="50"/>
        <v>-5162.1141280620468</v>
      </c>
      <c r="AC166" s="288">
        <f t="shared" si="50"/>
        <v>-5197.2682980501086</v>
      </c>
      <c r="AD166" s="369">
        <f t="shared" si="30"/>
        <v>-104835.1811163992</v>
      </c>
    </row>
    <row r="167" spans="1:30" s="112" customFormat="1" ht="12">
      <c r="A167" s="58"/>
      <c r="C167" s="49"/>
      <c r="D167" s="328"/>
      <c r="E167" s="236"/>
      <c r="F167" s="275"/>
      <c r="G167" s="275"/>
      <c r="H167" s="275"/>
      <c r="I167" s="275"/>
      <c r="J167" s="275"/>
      <c r="K167" s="275"/>
      <c r="L167" s="275"/>
      <c r="M167" s="275"/>
      <c r="N167" s="275"/>
      <c r="O167" s="275"/>
      <c r="P167" s="275"/>
      <c r="Q167" s="275"/>
      <c r="R167" s="275"/>
      <c r="S167" s="275"/>
      <c r="T167" s="275"/>
      <c r="U167" s="275"/>
      <c r="V167" s="275"/>
      <c r="W167" s="275"/>
      <c r="X167" s="275"/>
      <c r="Y167" s="275"/>
      <c r="Z167" s="275"/>
      <c r="AA167" s="275"/>
      <c r="AB167" s="275"/>
      <c r="AC167" s="288"/>
      <c r="AD167" s="369"/>
    </row>
    <row r="168" spans="1:30" s="112" customFormat="1" ht="12">
      <c r="A168" s="58"/>
      <c r="B168" s="469" t="s">
        <v>610</v>
      </c>
      <c r="C168" s="78" t="s">
        <v>608</v>
      </c>
      <c r="D168" s="467">
        <v>-0.1</v>
      </c>
      <c r="E168" s="236"/>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283"/>
      <c r="AD168" s="360">
        <f>SUM(F168:AC168)</f>
        <v>0</v>
      </c>
    </row>
    <row r="169" spans="1:30" s="112" customFormat="1" ht="12">
      <c r="A169" s="58"/>
      <c r="C169" s="78" t="s">
        <v>559</v>
      </c>
      <c r="D169" s="229">
        <f>D163*D$168</f>
        <v>-1.8722590666405649E-8</v>
      </c>
      <c r="E169" s="236"/>
      <c r="F169" s="55">
        <f>$D169*(F$15+F$16+F$17)</f>
        <v>0</v>
      </c>
      <c r="G169" s="55">
        <f t="shared" ref="G169:AC169" si="51">$D169*(G$15+G$16+G$17)</f>
        <v>0</v>
      </c>
      <c r="H169" s="55">
        <f t="shared" si="51"/>
        <v>-6.2750349642582402E-4</v>
      </c>
      <c r="I169" s="55">
        <f t="shared" si="51"/>
        <v>-6.4310998184163002E-4</v>
      </c>
      <c r="J169" s="55">
        <f t="shared" si="51"/>
        <v>-6.5871646725743603E-4</v>
      </c>
      <c r="K169" s="55">
        <f t="shared" si="51"/>
        <v>-6.7432295267324215E-4</v>
      </c>
      <c r="L169" s="55">
        <f t="shared" si="51"/>
        <v>-6.8992943808904794E-4</v>
      </c>
      <c r="M169" s="55">
        <f t="shared" si="51"/>
        <v>-7.0553592350485427E-4</v>
      </c>
      <c r="N169" s="55">
        <f t="shared" si="51"/>
        <v>-7.2114240892066038E-4</v>
      </c>
      <c r="O169" s="55">
        <f t="shared" si="51"/>
        <v>-7.2657097488478331E-4</v>
      </c>
      <c r="P169" s="55">
        <f t="shared" si="51"/>
        <v>-7.3199954084890646E-4</v>
      </c>
      <c r="Q169" s="55">
        <f t="shared" si="51"/>
        <v>-7.3742810681302917E-4</v>
      </c>
      <c r="R169" s="55">
        <f t="shared" si="51"/>
        <v>-7.4285667277715209E-4</v>
      </c>
      <c r="S169" s="55">
        <f t="shared" si="51"/>
        <v>-7.4828523874127502E-4</v>
      </c>
      <c r="T169" s="55">
        <f t="shared" si="51"/>
        <v>-7.5371380470539795E-4</v>
      </c>
      <c r="U169" s="55">
        <f t="shared" si="51"/>
        <v>-7.5914237066952088E-4</v>
      </c>
      <c r="V169" s="55">
        <f t="shared" si="51"/>
        <v>-7.6457093663364391E-4</v>
      </c>
      <c r="W169" s="55">
        <f t="shared" si="51"/>
        <v>-7.6999950259776663E-4</v>
      </c>
      <c r="X169" s="55">
        <f t="shared" si="51"/>
        <v>-7.7542806856188977E-4</v>
      </c>
      <c r="Y169" s="55">
        <f t="shared" si="51"/>
        <v>-7.8085663452601281E-4</v>
      </c>
      <c r="Z169" s="55">
        <f t="shared" si="51"/>
        <v>-7.8628520049013552E-4</v>
      </c>
      <c r="AA169" s="55">
        <f t="shared" si="51"/>
        <v>-7.9171376645425855E-4</v>
      </c>
      <c r="AB169" s="55">
        <f t="shared" si="51"/>
        <v>-7.9714233241838148E-4</v>
      </c>
      <c r="AC169" s="290">
        <f t="shared" si="51"/>
        <v>-8.025708983825043E-4</v>
      </c>
      <c r="AD169" s="361">
        <f>SUM(F169:AC169)</f>
        <v>-1.6188824718217351E-2</v>
      </c>
    </row>
    <row r="170" spans="1:30" s="112" customFormat="1" ht="12">
      <c r="A170" s="58"/>
      <c r="B170" s="58"/>
      <c r="C170" s="49" t="s">
        <v>40</v>
      </c>
      <c r="D170" s="328">
        <f>D164</f>
        <v>-6200000</v>
      </c>
      <c r="E170" s="236"/>
      <c r="F170" s="337">
        <f>F169*$D$170</f>
        <v>0</v>
      </c>
      <c r="G170" s="337">
        <f t="shared" ref="G170:AC170" si="52">G169*$D$170</f>
        <v>0</v>
      </c>
      <c r="H170" s="337">
        <f t="shared" si="52"/>
        <v>3890.5216778401091</v>
      </c>
      <c r="I170" s="337">
        <f t="shared" si="52"/>
        <v>3987.2818874181062</v>
      </c>
      <c r="J170" s="337">
        <f t="shared" si="52"/>
        <v>4084.0420969961033</v>
      </c>
      <c r="K170" s="337">
        <f t="shared" si="52"/>
        <v>4180.8023065741017</v>
      </c>
      <c r="L170" s="337">
        <f t="shared" si="52"/>
        <v>4277.5625161520975</v>
      </c>
      <c r="M170" s="337">
        <f t="shared" si="52"/>
        <v>4374.3227257300969</v>
      </c>
      <c r="N170" s="337">
        <f t="shared" si="52"/>
        <v>4471.0829353080944</v>
      </c>
      <c r="O170" s="337">
        <f t="shared" si="52"/>
        <v>4504.7400442856569</v>
      </c>
      <c r="P170" s="337">
        <f t="shared" si="52"/>
        <v>4538.3971532632204</v>
      </c>
      <c r="Q170" s="337">
        <f t="shared" si="52"/>
        <v>4572.0542622407811</v>
      </c>
      <c r="R170" s="337">
        <f t="shared" si="52"/>
        <v>4605.7113712183427</v>
      </c>
      <c r="S170" s="337">
        <f t="shared" si="52"/>
        <v>4639.3684801959052</v>
      </c>
      <c r="T170" s="337">
        <f t="shared" si="52"/>
        <v>4673.0255891734669</v>
      </c>
      <c r="U170" s="337">
        <f t="shared" si="52"/>
        <v>4706.6826981510294</v>
      </c>
      <c r="V170" s="337">
        <f t="shared" si="52"/>
        <v>4740.3398071285919</v>
      </c>
      <c r="W170" s="337">
        <f t="shared" si="52"/>
        <v>4773.9969161061526</v>
      </c>
      <c r="X170" s="337">
        <f t="shared" si="52"/>
        <v>4807.654025083717</v>
      </c>
      <c r="Y170" s="337">
        <f t="shared" si="52"/>
        <v>4841.3111340612795</v>
      </c>
      <c r="Z170" s="337">
        <f t="shared" si="52"/>
        <v>4874.9682430388402</v>
      </c>
      <c r="AA170" s="337">
        <f t="shared" si="52"/>
        <v>4908.6253520164028</v>
      </c>
      <c r="AB170" s="337">
        <f t="shared" si="52"/>
        <v>4942.2824609939653</v>
      </c>
      <c r="AC170" s="414">
        <f t="shared" si="52"/>
        <v>4975.9395699715269</v>
      </c>
      <c r="AD170" s="382">
        <f>SUM(F170:AC170)</f>
        <v>100370.71325294758</v>
      </c>
    </row>
    <row r="171" spans="1:30" s="112" customFormat="1" ht="12">
      <c r="A171" s="58"/>
      <c r="B171" s="58"/>
      <c r="C171" s="78" t="s">
        <v>560</v>
      </c>
      <c r="D171" s="229">
        <f>D165*D$168</f>
        <v>-8.7375046258002834E-7</v>
      </c>
      <c r="E171" s="236"/>
      <c r="F171" s="55">
        <f>$D171*(F$15+F$16+F$17)</f>
        <v>0</v>
      </c>
      <c r="G171" s="55">
        <f t="shared" ref="G171:AC171" si="53">$D171*(G$15+G$16+G$17)</f>
        <v>0</v>
      </c>
      <c r="H171" s="55">
        <f t="shared" si="53"/>
        <v>-2.9284487389688127E-2</v>
      </c>
      <c r="I171" s="55">
        <f t="shared" si="53"/>
        <v>-3.0012814686603113E-2</v>
      </c>
      <c r="J171" s="55">
        <f t="shared" si="53"/>
        <v>-3.0741141983518096E-2</v>
      </c>
      <c r="K171" s="55">
        <f t="shared" si="53"/>
        <v>-3.1469469280433086E-2</v>
      </c>
      <c r="L171" s="55">
        <f t="shared" si="53"/>
        <v>-3.2197796577348066E-2</v>
      </c>
      <c r="M171" s="55">
        <f t="shared" si="53"/>
        <v>-3.2926123874263066E-2</v>
      </c>
      <c r="N171" s="55">
        <f t="shared" si="53"/>
        <v>-3.365445117117806E-2</v>
      </c>
      <c r="O171" s="55">
        <f t="shared" si="53"/>
        <v>-3.3907792821744047E-2</v>
      </c>
      <c r="P171" s="55">
        <f t="shared" si="53"/>
        <v>-3.4161134472310048E-2</v>
      </c>
      <c r="Q171" s="55">
        <f t="shared" si="53"/>
        <v>-3.4414476122876028E-2</v>
      </c>
      <c r="R171" s="55">
        <f t="shared" si="53"/>
        <v>-3.4667817773442015E-2</v>
      </c>
      <c r="S171" s="55">
        <f t="shared" si="53"/>
        <v>-3.4921159424008009E-2</v>
      </c>
      <c r="T171" s="55">
        <f t="shared" si="53"/>
        <v>-3.5174501074573997E-2</v>
      </c>
      <c r="U171" s="55">
        <f t="shared" si="53"/>
        <v>-3.5427842725139984E-2</v>
      </c>
      <c r="V171" s="55">
        <f t="shared" si="53"/>
        <v>-3.5681184375705978E-2</v>
      </c>
      <c r="W171" s="55">
        <f t="shared" si="53"/>
        <v>-3.5934526026271965E-2</v>
      </c>
      <c r="X171" s="55">
        <f t="shared" si="53"/>
        <v>-3.6187867676837959E-2</v>
      </c>
      <c r="Y171" s="55">
        <f t="shared" si="53"/>
        <v>-3.644120932740396E-2</v>
      </c>
      <c r="Z171" s="55">
        <f t="shared" si="53"/>
        <v>-3.6694550977969941E-2</v>
      </c>
      <c r="AA171" s="55">
        <f t="shared" si="53"/>
        <v>-3.6947892628535935E-2</v>
      </c>
      <c r="AB171" s="55">
        <f t="shared" si="53"/>
        <v>-3.7201234279101922E-2</v>
      </c>
      <c r="AC171" s="290">
        <f t="shared" si="53"/>
        <v>-3.7454575929667909E-2</v>
      </c>
      <c r="AD171" s="361">
        <f>SUM(F171:AC171)</f>
        <v>-0.75550405059862136</v>
      </c>
    </row>
    <row r="172" spans="1:30" s="112" customFormat="1" ht="12">
      <c r="A172" s="58"/>
      <c r="B172" s="58"/>
      <c r="C172" s="49" t="s">
        <v>41</v>
      </c>
      <c r="D172" s="328">
        <f>D166</f>
        <v>-291400</v>
      </c>
      <c r="E172" s="236"/>
      <c r="F172" s="337">
        <f>F171*$D$172</f>
        <v>0</v>
      </c>
      <c r="G172" s="337">
        <f t="shared" ref="G172:AC172" si="54">G171*$D$172</f>
        <v>0</v>
      </c>
      <c r="H172" s="337">
        <f t="shared" si="54"/>
        <v>8533.4996253551199</v>
      </c>
      <c r="I172" s="337">
        <f t="shared" si="54"/>
        <v>8745.7341996761479</v>
      </c>
      <c r="J172" s="337">
        <f t="shared" si="54"/>
        <v>8957.9687739971741</v>
      </c>
      <c r="K172" s="337">
        <f t="shared" si="54"/>
        <v>9170.2033483182022</v>
      </c>
      <c r="L172" s="337">
        <f t="shared" si="54"/>
        <v>9382.4379226392266</v>
      </c>
      <c r="M172" s="337">
        <f t="shared" si="54"/>
        <v>9594.6724969602583</v>
      </c>
      <c r="N172" s="337">
        <f t="shared" si="54"/>
        <v>9806.9070712812863</v>
      </c>
      <c r="O172" s="337">
        <f t="shared" si="54"/>
        <v>9880.7308282562153</v>
      </c>
      <c r="P172" s="337">
        <f t="shared" si="54"/>
        <v>9954.5545852311479</v>
      </c>
      <c r="Q172" s="337">
        <f t="shared" si="54"/>
        <v>10028.378342206075</v>
      </c>
      <c r="R172" s="337">
        <f t="shared" si="54"/>
        <v>10102.202099181004</v>
      </c>
      <c r="S172" s="337">
        <f t="shared" si="54"/>
        <v>10176.025856155933</v>
      </c>
      <c r="T172" s="337">
        <f t="shared" si="54"/>
        <v>10249.849613130862</v>
      </c>
      <c r="U172" s="337">
        <f t="shared" si="54"/>
        <v>10323.673370105791</v>
      </c>
      <c r="V172" s="337">
        <f t="shared" si="54"/>
        <v>10397.497127080722</v>
      </c>
      <c r="W172" s="337">
        <f t="shared" si="54"/>
        <v>10471.320884055651</v>
      </c>
      <c r="X172" s="337">
        <f t="shared" si="54"/>
        <v>10545.144641030582</v>
      </c>
      <c r="Y172" s="337">
        <f t="shared" si="54"/>
        <v>10618.968398005514</v>
      </c>
      <c r="Z172" s="337">
        <f t="shared" si="54"/>
        <v>10692.792154980441</v>
      </c>
      <c r="AA172" s="337">
        <f t="shared" si="54"/>
        <v>10766.615911955372</v>
      </c>
      <c r="AB172" s="337">
        <f t="shared" si="54"/>
        <v>10840.439668930299</v>
      </c>
      <c r="AC172" s="414">
        <f t="shared" si="54"/>
        <v>10914.263425905228</v>
      </c>
      <c r="AD172" s="382">
        <f>SUM(F172:AC172)</f>
        <v>220153.88034443828</v>
      </c>
    </row>
    <row r="173" spans="1:30" s="112" customFormat="1" ht="12">
      <c r="A173" s="58"/>
      <c r="B173" s="58"/>
      <c r="C173" s="49"/>
      <c r="D173" s="229"/>
      <c r="E173" s="236"/>
      <c r="F173" s="275"/>
      <c r="G173" s="275"/>
      <c r="H173" s="275"/>
      <c r="I173" s="275"/>
      <c r="J173" s="275"/>
      <c r="K173" s="275"/>
      <c r="L173" s="275"/>
      <c r="M173" s="275"/>
      <c r="N173" s="275"/>
      <c r="O173" s="275"/>
      <c r="P173" s="275"/>
      <c r="Q173" s="275"/>
      <c r="R173" s="275"/>
      <c r="S173" s="275"/>
      <c r="T173" s="275"/>
      <c r="U173" s="275"/>
      <c r="V173" s="275"/>
      <c r="W173" s="275"/>
      <c r="X173" s="275"/>
      <c r="Y173" s="275"/>
      <c r="Z173" s="275"/>
      <c r="AA173" s="275"/>
      <c r="AB173" s="275"/>
      <c r="AC173" s="288"/>
      <c r="AD173" s="369">
        <f t="shared" si="30"/>
        <v>0</v>
      </c>
    </row>
    <row r="174" spans="1:30" s="112" customFormat="1" ht="12">
      <c r="A174" s="58"/>
      <c r="B174" s="58" t="s">
        <v>545</v>
      </c>
      <c r="C174" s="78" t="s">
        <v>603</v>
      </c>
      <c r="D174" s="229"/>
      <c r="E174" s="236"/>
      <c r="AC174" s="282"/>
      <c r="AD174" s="360">
        <f t="shared" si="30"/>
        <v>0</v>
      </c>
    </row>
    <row r="175" spans="1:30" s="112" customFormat="1" ht="12">
      <c r="A175" s="58"/>
      <c r="B175" s="58"/>
      <c r="C175" s="78" t="s">
        <v>559</v>
      </c>
      <c r="D175" s="229">
        <f>'Mode Operating Assumptions'!$D$186</f>
        <v>8.6836127924972328E-9</v>
      </c>
      <c r="E175" s="236"/>
      <c r="F175" s="55">
        <f>$D175*F$23</f>
        <v>0</v>
      </c>
      <c r="G175" s="55">
        <f t="shared" ref="G175:AC175" si="55">$D175*G$23</f>
        <v>0</v>
      </c>
      <c r="H175" s="55">
        <f t="shared" si="55"/>
        <v>-9.9204033876920238E-4</v>
      </c>
      <c r="I175" s="55">
        <f t="shared" si="55"/>
        <v>-1.0167131305019621E-3</v>
      </c>
      <c r="J175" s="55">
        <f t="shared" si="55"/>
        <v>-1.0413859222347217E-3</v>
      </c>
      <c r="K175" s="55">
        <f t="shared" si="55"/>
        <v>-1.0660587139674816E-3</v>
      </c>
      <c r="L175" s="55">
        <f t="shared" si="55"/>
        <v>-1.090731505700241E-3</v>
      </c>
      <c r="M175" s="55">
        <f t="shared" si="55"/>
        <v>-1.1154042974330011E-3</v>
      </c>
      <c r="N175" s="55">
        <f t="shared" si="55"/>
        <v>-1.1400770891657605E-3</v>
      </c>
      <c r="O175" s="55">
        <f t="shared" si="55"/>
        <v>-1.1486592826495479E-3</v>
      </c>
      <c r="P175" s="55">
        <f t="shared" si="55"/>
        <v>-1.1572414761333355E-3</v>
      </c>
      <c r="Q175" s="55">
        <f t="shared" si="55"/>
        <v>-1.1658236696171225E-3</v>
      </c>
      <c r="R175" s="55">
        <f t="shared" si="55"/>
        <v>-1.1744058631009101E-3</v>
      </c>
      <c r="S175" s="55">
        <f t="shared" si="55"/>
        <v>-1.1829880565846975E-3</v>
      </c>
      <c r="T175" s="55">
        <f t="shared" si="55"/>
        <v>-1.1915702500684847E-3</v>
      </c>
      <c r="U175" s="55">
        <f t="shared" si="55"/>
        <v>-1.2001524435522719E-3</v>
      </c>
      <c r="V175" s="55">
        <f t="shared" si="55"/>
        <v>-1.2087346370360593E-3</v>
      </c>
      <c r="W175" s="55">
        <f t="shared" si="55"/>
        <v>-1.2173168305198467E-3</v>
      </c>
      <c r="X175" s="55">
        <f t="shared" si="55"/>
        <v>-1.2258990240036341E-3</v>
      </c>
      <c r="Y175" s="55">
        <f t="shared" si="55"/>
        <v>-1.234481217487421E-3</v>
      </c>
      <c r="Z175" s="55">
        <f t="shared" si="55"/>
        <v>-1.2430634109712084E-3</v>
      </c>
      <c r="AA175" s="55">
        <f t="shared" si="55"/>
        <v>-1.2516456044549961E-3</v>
      </c>
      <c r="AB175" s="55">
        <f t="shared" si="55"/>
        <v>-1.2602277979387835E-3</v>
      </c>
      <c r="AC175" s="290">
        <f t="shared" si="55"/>
        <v>-1.2688099914225711E-3</v>
      </c>
      <c r="AD175" s="376">
        <f t="shared" si="30"/>
        <v>-2.559343055331326E-2</v>
      </c>
    </row>
    <row r="176" spans="1:30" s="112" customFormat="1" ht="12">
      <c r="A176" s="58"/>
      <c r="B176" s="58"/>
      <c r="C176" s="49" t="s">
        <v>40</v>
      </c>
      <c r="D176" s="328">
        <f>D164</f>
        <v>-6200000</v>
      </c>
      <c r="E176" s="236"/>
      <c r="F176" s="275">
        <f>F175*$D$176</f>
        <v>0</v>
      </c>
      <c r="G176" s="275">
        <f t="shared" ref="G176:AC176" si="56">G175*$D$176</f>
        <v>0</v>
      </c>
      <c r="H176" s="275">
        <f t="shared" si="56"/>
        <v>6150.6501003690546</v>
      </c>
      <c r="I176" s="275">
        <f t="shared" si="56"/>
        <v>6303.6214091121656</v>
      </c>
      <c r="J176" s="275">
        <f t="shared" si="56"/>
        <v>6456.5927178552747</v>
      </c>
      <c r="K176" s="275">
        <f t="shared" si="56"/>
        <v>6609.5640265983866</v>
      </c>
      <c r="L176" s="275">
        <f t="shared" si="56"/>
        <v>6762.5353353414939</v>
      </c>
      <c r="M176" s="275">
        <f t="shared" si="56"/>
        <v>6915.5066440846067</v>
      </c>
      <c r="N176" s="275">
        <f t="shared" si="56"/>
        <v>7068.4779528277149</v>
      </c>
      <c r="O176" s="275">
        <f t="shared" si="56"/>
        <v>7121.6875524271973</v>
      </c>
      <c r="P176" s="275">
        <f t="shared" si="56"/>
        <v>7174.8971520266805</v>
      </c>
      <c r="Q176" s="275">
        <f t="shared" si="56"/>
        <v>7228.1067516261592</v>
      </c>
      <c r="R176" s="275">
        <f t="shared" si="56"/>
        <v>7281.3163512256424</v>
      </c>
      <c r="S176" s="275">
        <f t="shared" si="56"/>
        <v>7334.5259508251247</v>
      </c>
      <c r="T176" s="275">
        <f t="shared" si="56"/>
        <v>7387.7355504246052</v>
      </c>
      <c r="U176" s="275">
        <f t="shared" si="56"/>
        <v>7440.9451500240857</v>
      </c>
      <c r="V176" s="275">
        <f t="shared" si="56"/>
        <v>7494.1547496235671</v>
      </c>
      <c r="W176" s="275">
        <f t="shared" si="56"/>
        <v>7547.3643492230494</v>
      </c>
      <c r="X176" s="275">
        <f t="shared" si="56"/>
        <v>7600.5739488225308</v>
      </c>
      <c r="Y176" s="275">
        <f t="shared" si="56"/>
        <v>7653.7835484220104</v>
      </c>
      <c r="Z176" s="275">
        <f t="shared" si="56"/>
        <v>7706.9931480214927</v>
      </c>
      <c r="AA176" s="275">
        <f t="shared" si="56"/>
        <v>7760.202747620976</v>
      </c>
      <c r="AB176" s="275">
        <f t="shared" si="56"/>
        <v>7813.4123472204574</v>
      </c>
      <c r="AC176" s="288">
        <f t="shared" si="56"/>
        <v>7866.6219468199406</v>
      </c>
      <c r="AD176" s="369">
        <f t="shared" ref="AD176:AD191" si="57">SUM(F176:AC176)</f>
        <v>158679.26943054222</v>
      </c>
    </row>
    <row r="177" spans="1:50" s="112" customFormat="1" ht="12">
      <c r="A177" s="58"/>
      <c r="B177" s="58"/>
      <c r="C177" s="78" t="s">
        <v>560</v>
      </c>
      <c r="D177" s="229">
        <f>'Mode Operating Assumptions'!$D$187</f>
        <v>8.1339537419145546E-7</v>
      </c>
      <c r="E177" s="236"/>
      <c r="F177" s="55">
        <f>$D177*F$23</f>
        <v>0</v>
      </c>
      <c r="G177" s="55">
        <f t="shared" ref="G177:AC177" si="58">$D177*G$23</f>
        <v>0</v>
      </c>
      <c r="H177" s="55">
        <f t="shared" si="58"/>
        <v>-9.2924574350365455E-2</v>
      </c>
      <c r="I177" s="55">
        <f t="shared" si="58"/>
        <v>-9.5235678627280662E-2</v>
      </c>
      <c r="J177" s="55">
        <f t="shared" si="58"/>
        <v>-9.7546782904195842E-2</v>
      </c>
      <c r="K177" s="55">
        <f t="shared" si="58"/>
        <v>-9.9857887181111063E-2</v>
      </c>
      <c r="L177" s="55">
        <f t="shared" si="58"/>
        <v>-0.10216899145802623</v>
      </c>
      <c r="M177" s="55">
        <f t="shared" si="58"/>
        <v>-0.10448009573494148</v>
      </c>
      <c r="N177" s="55">
        <f t="shared" si="58"/>
        <v>-0.10679120001185666</v>
      </c>
      <c r="O177" s="55">
        <f t="shared" si="58"/>
        <v>-0.10759509542347152</v>
      </c>
      <c r="P177" s="55">
        <f t="shared" si="58"/>
        <v>-0.10839899083508642</v>
      </c>
      <c r="Q177" s="55">
        <f t="shared" si="58"/>
        <v>-0.10920288624670124</v>
      </c>
      <c r="R177" s="55">
        <f t="shared" si="58"/>
        <v>-0.11000678165831614</v>
      </c>
      <c r="S177" s="55">
        <f t="shared" si="58"/>
        <v>-0.110810677069931</v>
      </c>
      <c r="T177" s="55">
        <f t="shared" si="58"/>
        <v>-0.11161457248154587</v>
      </c>
      <c r="U177" s="55">
        <f t="shared" si="58"/>
        <v>-0.11241846789316072</v>
      </c>
      <c r="V177" s="55">
        <f t="shared" si="58"/>
        <v>-0.11322236330477559</v>
      </c>
      <c r="W177" s="55">
        <f t="shared" si="58"/>
        <v>-0.11402625871639045</v>
      </c>
      <c r="X177" s="55">
        <f t="shared" si="58"/>
        <v>-0.11483015412800532</v>
      </c>
      <c r="Y177" s="55">
        <f t="shared" si="58"/>
        <v>-0.11563404953962016</v>
      </c>
      <c r="Z177" s="55">
        <f t="shared" si="58"/>
        <v>-0.11643794495123504</v>
      </c>
      <c r="AA177" s="55">
        <f t="shared" si="58"/>
        <v>-0.11724184036284992</v>
      </c>
      <c r="AB177" s="55">
        <f t="shared" si="58"/>
        <v>-0.1180457357744648</v>
      </c>
      <c r="AC177" s="290">
        <f t="shared" si="58"/>
        <v>-0.11884963118607968</v>
      </c>
      <c r="AD177" s="376">
        <f t="shared" si="57"/>
        <v>-2.3973406598394114</v>
      </c>
    </row>
    <row r="178" spans="1:50" s="112" customFormat="1" ht="12">
      <c r="A178" s="58"/>
      <c r="B178" s="58"/>
      <c r="C178" s="49" t="s">
        <v>41</v>
      </c>
      <c r="D178" s="328">
        <f>D166</f>
        <v>-291400</v>
      </c>
      <c r="E178" s="236"/>
      <c r="F178" s="275">
        <f>F177*$D$178</f>
        <v>0</v>
      </c>
      <c r="G178" s="275">
        <f t="shared" ref="G178:AC178" si="59">G177*$D$178</f>
        <v>0</v>
      </c>
      <c r="H178" s="275">
        <f t="shared" si="59"/>
        <v>27078.220965696495</v>
      </c>
      <c r="I178" s="275">
        <f t="shared" si="59"/>
        <v>27751.676751989584</v>
      </c>
      <c r="J178" s="275">
        <f t="shared" si="59"/>
        <v>28425.132538282669</v>
      </c>
      <c r="K178" s="275">
        <f t="shared" si="59"/>
        <v>29098.588324575765</v>
      </c>
      <c r="L178" s="275">
        <f t="shared" si="59"/>
        <v>29772.044110868843</v>
      </c>
      <c r="M178" s="275">
        <f t="shared" si="59"/>
        <v>30445.499897161946</v>
      </c>
      <c r="N178" s="275">
        <f t="shared" si="59"/>
        <v>31118.955683455031</v>
      </c>
      <c r="O178" s="275">
        <f t="shared" si="59"/>
        <v>31353.210806399602</v>
      </c>
      <c r="P178" s="275">
        <f t="shared" si="59"/>
        <v>31587.465929344184</v>
      </c>
      <c r="Q178" s="275">
        <f t="shared" si="59"/>
        <v>31821.721052288744</v>
      </c>
      <c r="R178" s="275">
        <f t="shared" si="59"/>
        <v>32055.976175233322</v>
      </c>
      <c r="S178" s="275">
        <f t="shared" si="59"/>
        <v>32290.231298177892</v>
      </c>
      <c r="T178" s="275">
        <f t="shared" si="59"/>
        <v>32524.486421122467</v>
      </c>
      <c r="U178" s="275">
        <f t="shared" si="59"/>
        <v>32758.741544067034</v>
      </c>
      <c r="V178" s="275">
        <f t="shared" si="59"/>
        <v>32992.996667011605</v>
      </c>
      <c r="W178" s="275">
        <f t="shared" si="59"/>
        <v>33227.251789956179</v>
      </c>
      <c r="X178" s="275">
        <f t="shared" si="59"/>
        <v>33461.506912900753</v>
      </c>
      <c r="Y178" s="275">
        <f t="shared" si="59"/>
        <v>33695.762035845313</v>
      </c>
      <c r="Z178" s="275">
        <f t="shared" si="59"/>
        <v>33930.017158789888</v>
      </c>
      <c r="AA178" s="275">
        <f t="shared" si="59"/>
        <v>34164.272281734469</v>
      </c>
      <c r="AB178" s="275">
        <f t="shared" si="59"/>
        <v>34398.527404679044</v>
      </c>
      <c r="AC178" s="288">
        <f t="shared" si="59"/>
        <v>34632.782527623618</v>
      </c>
      <c r="AD178" s="369">
        <f t="shared" si="57"/>
        <v>698585.06827720453</v>
      </c>
    </row>
    <row r="179" spans="1:50" s="112" customFormat="1" ht="12">
      <c r="A179" s="58"/>
      <c r="B179" s="58"/>
      <c r="C179" s="78" t="s">
        <v>572</v>
      </c>
      <c r="D179" s="229">
        <f>'Mode Operating Assumptions'!$D$185</f>
        <v>1.8640215942009768E-6</v>
      </c>
      <c r="E179" s="236"/>
      <c r="F179" s="55">
        <f>$D179*F$23</f>
        <v>0</v>
      </c>
      <c r="G179" s="55">
        <f t="shared" ref="G179:AC179" si="60">$D179*G$23</f>
        <v>0</v>
      </c>
      <c r="H179" s="55">
        <f t="shared" si="60"/>
        <v>-0.2129510674844885</v>
      </c>
      <c r="I179" s="55">
        <f t="shared" si="60"/>
        <v>-0.21824732120722751</v>
      </c>
      <c r="J179" s="55">
        <f t="shared" si="60"/>
        <v>-0.22354357492996646</v>
      </c>
      <c r="K179" s="55">
        <f t="shared" si="60"/>
        <v>-0.2288398286527055</v>
      </c>
      <c r="L179" s="55">
        <f t="shared" si="60"/>
        <v>-0.23413608237544439</v>
      </c>
      <c r="M179" s="55">
        <f t="shared" si="60"/>
        <v>-0.23943233609818348</v>
      </c>
      <c r="N179" s="55">
        <f t="shared" si="60"/>
        <v>-0.24472858982092244</v>
      </c>
      <c r="O179" s="55">
        <f t="shared" si="60"/>
        <v>-0.24657084077817523</v>
      </c>
      <c r="P179" s="55">
        <f t="shared" si="60"/>
        <v>-0.24841309173542808</v>
      </c>
      <c r="Q179" s="55">
        <f t="shared" si="60"/>
        <v>-0.25025534269268074</v>
      </c>
      <c r="R179" s="55">
        <f t="shared" si="60"/>
        <v>-0.25209759364993362</v>
      </c>
      <c r="S179" s="55">
        <f t="shared" si="60"/>
        <v>-0.25393984460718638</v>
      </c>
      <c r="T179" s="55">
        <f t="shared" si="60"/>
        <v>-0.25578209556443915</v>
      </c>
      <c r="U179" s="55">
        <f t="shared" si="60"/>
        <v>-0.25762434652169192</v>
      </c>
      <c r="V179" s="55">
        <f t="shared" si="60"/>
        <v>-0.25946659747894468</v>
      </c>
      <c r="W179" s="55">
        <f t="shared" si="60"/>
        <v>-0.26130884843619745</v>
      </c>
      <c r="X179" s="55">
        <f t="shared" si="60"/>
        <v>-0.26315109939345027</v>
      </c>
      <c r="Y179" s="55">
        <f t="shared" si="60"/>
        <v>-0.26499335035070298</v>
      </c>
      <c r="Z179" s="55">
        <f t="shared" si="60"/>
        <v>-0.26683560130795575</v>
      </c>
      <c r="AA179" s="55">
        <f t="shared" si="60"/>
        <v>-0.26867785226520863</v>
      </c>
      <c r="AB179" s="55">
        <f t="shared" si="60"/>
        <v>-0.27052010322246139</v>
      </c>
      <c r="AC179" s="290">
        <f t="shared" si="60"/>
        <v>-0.27236235417971422</v>
      </c>
      <c r="AD179" s="376">
        <f t="shared" si="57"/>
        <v>-5.4938777627531081</v>
      </c>
    </row>
    <row r="180" spans="1:50" s="112" customFormat="1" ht="12">
      <c r="A180" s="58"/>
      <c r="B180" s="58"/>
      <c r="C180" s="49" t="s">
        <v>547</v>
      </c>
      <c r="D180" s="328">
        <f>-'Mode Operating Assumptions'!C174</f>
        <v>-3285</v>
      </c>
      <c r="E180" s="236"/>
      <c r="F180" s="275">
        <f>F179*$D$180</f>
        <v>0</v>
      </c>
      <c r="G180" s="275">
        <f t="shared" ref="G180:AC180" si="61">G179*$D$180</f>
        <v>0</v>
      </c>
      <c r="H180" s="275">
        <f t="shared" si="61"/>
        <v>699.54425668654471</v>
      </c>
      <c r="I180" s="275">
        <f t="shared" si="61"/>
        <v>716.94245016574234</v>
      </c>
      <c r="J180" s="275">
        <f t="shared" si="61"/>
        <v>734.34064364493986</v>
      </c>
      <c r="K180" s="275">
        <f t="shared" si="61"/>
        <v>751.7388371241376</v>
      </c>
      <c r="L180" s="275">
        <f t="shared" si="61"/>
        <v>769.13703060333478</v>
      </c>
      <c r="M180" s="275">
        <f t="shared" si="61"/>
        <v>786.53522408253275</v>
      </c>
      <c r="N180" s="275">
        <f t="shared" si="61"/>
        <v>803.93341756173015</v>
      </c>
      <c r="O180" s="275">
        <f t="shared" si="61"/>
        <v>809.98521195630565</v>
      </c>
      <c r="P180" s="275">
        <f t="shared" si="61"/>
        <v>816.03700635088126</v>
      </c>
      <c r="Q180" s="275">
        <f t="shared" si="61"/>
        <v>822.08880074545618</v>
      </c>
      <c r="R180" s="275">
        <f t="shared" si="61"/>
        <v>828.14059514003191</v>
      </c>
      <c r="S180" s="275">
        <f t="shared" si="61"/>
        <v>834.19238953460729</v>
      </c>
      <c r="T180" s="275">
        <f t="shared" si="61"/>
        <v>840.24418392918255</v>
      </c>
      <c r="U180" s="275">
        <f t="shared" si="61"/>
        <v>846.29597832375794</v>
      </c>
      <c r="V180" s="275">
        <f t="shared" si="61"/>
        <v>852.34777271833332</v>
      </c>
      <c r="W180" s="275">
        <f t="shared" si="61"/>
        <v>858.39956711290858</v>
      </c>
      <c r="X180" s="275">
        <f t="shared" si="61"/>
        <v>864.45136150748419</v>
      </c>
      <c r="Y180" s="275">
        <f t="shared" si="61"/>
        <v>870.50315590205935</v>
      </c>
      <c r="Z180" s="275">
        <f t="shared" si="61"/>
        <v>876.55495029663462</v>
      </c>
      <c r="AA180" s="275">
        <f t="shared" si="61"/>
        <v>882.60674469121034</v>
      </c>
      <c r="AB180" s="275">
        <f t="shared" si="61"/>
        <v>888.65853908578572</v>
      </c>
      <c r="AC180" s="288">
        <f t="shared" si="61"/>
        <v>894.71033348036121</v>
      </c>
      <c r="AD180" s="369">
        <f t="shared" si="57"/>
        <v>18047.388450643964</v>
      </c>
    </row>
    <row r="181" spans="1:50" s="112" customFormat="1" ht="12">
      <c r="A181" s="58"/>
      <c r="B181" s="58"/>
      <c r="D181" s="328"/>
      <c r="E181" s="236"/>
      <c r="F181" s="275"/>
      <c r="G181" s="275"/>
      <c r="H181" s="275"/>
      <c r="I181" s="275"/>
      <c r="J181" s="275"/>
      <c r="K181" s="275"/>
      <c r="L181" s="275"/>
      <c r="M181" s="275"/>
      <c r="N181" s="275"/>
      <c r="O181" s="275"/>
      <c r="P181" s="275"/>
      <c r="Q181" s="275"/>
      <c r="R181" s="275"/>
      <c r="S181" s="275"/>
      <c r="T181" s="275"/>
      <c r="U181" s="275"/>
      <c r="V181" s="275"/>
      <c r="W181" s="275"/>
      <c r="X181" s="275"/>
      <c r="Y181" s="275"/>
      <c r="Z181" s="275"/>
      <c r="AA181" s="275"/>
      <c r="AB181" s="275"/>
      <c r="AC181" s="288"/>
      <c r="AD181" s="369">
        <f t="shared" si="57"/>
        <v>0</v>
      </c>
    </row>
    <row r="182" spans="1:50" s="5" customFormat="1" ht="12">
      <c r="A182" s="58"/>
      <c r="B182" s="58"/>
      <c r="C182" s="315" t="s">
        <v>537</v>
      </c>
      <c r="D182" s="231"/>
      <c r="E182" s="239"/>
      <c r="F182" s="83">
        <f>F170+F172+F151+F153+F164+F157+F159+F166+F176+F178+F180</f>
        <v>0</v>
      </c>
      <c r="G182" s="83">
        <f t="shared" ref="G182:AC182" si="62">G170+G172+G151+G153+G164+G157+G159+G166+G176+G178+G180</f>
        <v>0</v>
      </c>
      <c r="H182" s="83">
        <f t="shared" si="62"/>
        <v>14296.099226227712</v>
      </c>
      <c r="I182" s="83">
        <f t="shared" si="62"/>
        <v>14651.654000580138</v>
      </c>
      <c r="J182" s="83">
        <f t="shared" si="62"/>
        <v>15007.208774932551</v>
      </c>
      <c r="K182" s="83">
        <f t="shared" si="62"/>
        <v>15362.763549284971</v>
      </c>
      <c r="L182" s="83">
        <f t="shared" si="62"/>
        <v>15718.318323637384</v>
      </c>
      <c r="M182" s="83">
        <f t="shared" si="62"/>
        <v>16073.873097989819</v>
      </c>
      <c r="N182" s="83">
        <f t="shared" si="62"/>
        <v>16429.427872342236</v>
      </c>
      <c r="O182" s="83">
        <f t="shared" si="62"/>
        <v>16553.104183504271</v>
      </c>
      <c r="P182" s="83">
        <f t="shared" si="62"/>
        <v>16676.780494666313</v>
      </c>
      <c r="Q182" s="83">
        <f t="shared" si="62"/>
        <v>16800.456805828337</v>
      </c>
      <c r="R182" s="83">
        <f t="shared" si="62"/>
        <v>16924.133116990357</v>
      </c>
      <c r="S182" s="83">
        <f t="shared" si="62"/>
        <v>17047.809428152403</v>
      </c>
      <c r="T182" s="83">
        <f t="shared" si="62"/>
        <v>17171.485739314434</v>
      </c>
      <c r="U182" s="83">
        <f t="shared" si="62"/>
        <v>17295.162050476472</v>
      </c>
      <c r="V182" s="83">
        <f t="shared" si="62"/>
        <v>17418.838361638504</v>
      </c>
      <c r="W182" s="83">
        <f t="shared" si="62"/>
        <v>17542.514672800535</v>
      </c>
      <c r="X182" s="83">
        <f t="shared" si="62"/>
        <v>17666.19098396257</v>
      </c>
      <c r="Y182" s="83">
        <f t="shared" si="62"/>
        <v>17789.867295124608</v>
      </c>
      <c r="Z182" s="83">
        <f t="shared" si="62"/>
        <v>17913.543606286632</v>
      </c>
      <c r="AA182" s="83">
        <f t="shared" si="62"/>
        <v>18037.219917448674</v>
      </c>
      <c r="AB182" s="83">
        <f t="shared" si="62"/>
        <v>18160.89622861072</v>
      </c>
      <c r="AC182" s="83">
        <f t="shared" si="62"/>
        <v>18284.57253977274</v>
      </c>
      <c r="AD182" s="378">
        <f t="shared" si="57"/>
        <v>368821.92026957235</v>
      </c>
    </row>
    <row r="183" spans="1:50" s="112" customFormat="1" ht="12">
      <c r="A183" s="109"/>
      <c r="B183" s="58"/>
      <c r="C183" s="110"/>
      <c r="D183" s="227"/>
      <c r="E183" s="235"/>
      <c r="F183" s="111"/>
      <c r="G183" s="111"/>
      <c r="H183" s="111"/>
      <c r="I183" s="111"/>
      <c r="J183" s="111"/>
      <c r="K183" s="111"/>
      <c r="L183" s="111"/>
      <c r="M183" s="111"/>
      <c r="N183" s="111"/>
      <c r="O183" s="111"/>
      <c r="P183" s="111"/>
      <c r="Q183" s="111"/>
      <c r="R183" s="111"/>
      <c r="S183" s="111"/>
      <c r="T183" s="111"/>
      <c r="U183" s="111"/>
      <c r="V183" s="111"/>
      <c r="W183" s="111"/>
      <c r="X183" s="111"/>
      <c r="Y183" s="111"/>
      <c r="Z183" s="111"/>
      <c r="AC183" s="282"/>
      <c r="AD183" s="360">
        <f t="shared" si="57"/>
        <v>0</v>
      </c>
    </row>
    <row r="184" spans="1:50" s="94" customFormat="1" ht="12">
      <c r="A184" s="94" t="s">
        <v>363</v>
      </c>
      <c r="B184" s="58"/>
      <c r="D184" s="230"/>
      <c r="E184" s="241"/>
      <c r="H184" s="93"/>
      <c r="I184" s="93"/>
      <c r="J184" s="93"/>
      <c r="K184" s="93"/>
      <c r="L184" s="93"/>
      <c r="M184" s="93"/>
      <c r="N184" s="93"/>
      <c r="O184" s="93"/>
      <c r="P184" s="93"/>
      <c r="Q184" s="93"/>
      <c r="R184" s="93"/>
      <c r="S184" s="93"/>
      <c r="T184" s="93"/>
      <c r="U184" s="93"/>
      <c r="V184" s="93"/>
      <c r="W184" s="93"/>
      <c r="X184" s="93"/>
      <c r="Y184" s="93"/>
      <c r="AC184" s="293"/>
      <c r="AD184" s="384">
        <f t="shared" si="57"/>
        <v>0</v>
      </c>
    </row>
    <row r="185" spans="1:50" s="94" customFormat="1" ht="12">
      <c r="B185" s="58"/>
      <c r="D185" s="230"/>
      <c r="E185" s="241"/>
      <c r="H185" s="108"/>
      <c r="I185" s="108"/>
      <c r="J185" s="108"/>
      <c r="K185" s="108"/>
      <c r="L185" s="108"/>
      <c r="M185" s="108"/>
      <c r="N185" s="108"/>
      <c r="O185" s="108"/>
      <c r="P185" s="108"/>
      <c r="Q185" s="108"/>
      <c r="R185" s="108"/>
      <c r="S185" s="108"/>
      <c r="T185" s="108"/>
      <c r="U185" s="108"/>
      <c r="V185" s="108"/>
      <c r="W185" s="108"/>
      <c r="X185" s="108"/>
      <c r="Y185" s="108"/>
      <c r="AC185" s="293"/>
      <c r="AD185" s="384">
        <f t="shared" si="57"/>
        <v>0</v>
      </c>
    </row>
    <row r="186" spans="1:50" s="112" customFormat="1" ht="12">
      <c r="A186" s="92"/>
      <c r="B186" s="58"/>
      <c r="C186" s="311" t="s">
        <v>519</v>
      </c>
      <c r="D186" s="230"/>
      <c r="E186" s="310">
        <f>SUM(F186:AC186)</f>
        <v>4537106.7417626958</v>
      </c>
      <c r="F186" s="275">
        <f t="shared" ref="F186:AC186" si="63">F5+F6+F45+F57+F64+F71+F84+F91+F108+F121+F182+F124+F139+F144</f>
        <v>0</v>
      </c>
      <c r="G186" s="275">
        <f t="shared" si="63"/>
        <v>-537107.87439426535</v>
      </c>
      <c r="H186" s="275">
        <f t="shared" si="63"/>
        <v>200626.17720184897</v>
      </c>
      <c r="I186" s="275">
        <f t="shared" si="63"/>
        <v>204623.7238898974</v>
      </c>
      <c r="J186" s="275">
        <f t="shared" si="63"/>
        <v>208715.92193827685</v>
      </c>
      <c r="K186" s="275">
        <f t="shared" si="63"/>
        <v>212697.00816897565</v>
      </c>
      <c r="L186" s="275">
        <f t="shared" si="63"/>
        <v>216610.77163504166</v>
      </c>
      <c r="M186" s="275">
        <f t="shared" si="63"/>
        <v>220499.22661937799</v>
      </c>
      <c r="N186" s="275">
        <f t="shared" si="63"/>
        <v>224362.67139257875</v>
      </c>
      <c r="O186" s="275">
        <f t="shared" si="63"/>
        <v>225429.115419081</v>
      </c>
      <c r="P186" s="275">
        <f t="shared" si="63"/>
        <v>227328.77291063749</v>
      </c>
      <c r="Q186" s="275">
        <f t="shared" si="63"/>
        <v>229234.69871285668</v>
      </c>
      <c r="R186" s="275">
        <f t="shared" si="63"/>
        <v>231146.99306913259</v>
      </c>
      <c r="S186" s="275">
        <f t="shared" si="63"/>
        <v>233065.75765199625</v>
      </c>
      <c r="T186" s="275">
        <f t="shared" si="63"/>
        <v>234991.09558877072</v>
      </c>
      <c r="U186" s="275">
        <f t="shared" si="63"/>
        <v>236923.11148778046</v>
      </c>
      <c r="V186" s="275">
        <f t="shared" si="63"/>
        <v>238861.9114651283</v>
      </c>
      <c r="W186" s="275">
        <f t="shared" si="63"/>
        <v>240807.60317205652</v>
      </c>
      <c r="X186" s="275">
        <f t="shared" si="63"/>
        <v>242760.29582290479</v>
      </c>
      <c r="Y186" s="275">
        <f t="shared" si="63"/>
        <v>244720.10022368096</v>
      </c>
      <c r="Z186" s="275">
        <f t="shared" si="63"/>
        <v>246902.65313485046</v>
      </c>
      <c r="AA186" s="275">
        <f t="shared" si="63"/>
        <v>249095.52080679845</v>
      </c>
      <c r="AB186" s="275">
        <f t="shared" si="63"/>
        <v>251298.81933070641</v>
      </c>
      <c r="AC186" s="275">
        <f t="shared" si="63"/>
        <v>253512.6665145829</v>
      </c>
      <c r="AD186" s="369">
        <f t="shared" si="57"/>
        <v>4537106.7417626958</v>
      </c>
      <c r="AE186" s="112">
        <v>2036</v>
      </c>
      <c r="AF186" s="112">
        <f>AE186+1</f>
        <v>2037</v>
      </c>
      <c r="AG186" s="112">
        <f t="shared" ref="AG186:AX186" si="64">AF186+1</f>
        <v>2038</v>
      </c>
      <c r="AH186" s="112">
        <f t="shared" si="64"/>
        <v>2039</v>
      </c>
      <c r="AI186" s="112">
        <f t="shared" si="64"/>
        <v>2040</v>
      </c>
      <c r="AJ186" s="112">
        <f t="shared" si="64"/>
        <v>2041</v>
      </c>
      <c r="AK186" s="112">
        <f t="shared" si="64"/>
        <v>2042</v>
      </c>
      <c r="AL186" s="112">
        <f t="shared" si="64"/>
        <v>2043</v>
      </c>
      <c r="AM186" s="112">
        <f t="shared" si="64"/>
        <v>2044</v>
      </c>
      <c r="AN186" s="112">
        <f t="shared" si="64"/>
        <v>2045</v>
      </c>
      <c r="AO186" s="112">
        <f t="shared" si="64"/>
        <v>2046</v>
      </c>
      <c r="AP186" s="112">
        <f t="shared" si="64"/>
        <v>2047</v>
      </c>
      <c r="AQ186" s="112">
        <f t="shared" si="64"/>
        <v>2048</v>
      </c>
      <c r="AR186" s="112">
        <f t="shared" si="64"/>
        <v>2049</v>
      </c>
      <c r="AS186" s="112">
        <f t="shared" si="64"/>
        <v>2050</v>
      </c>
      <c r="AT186" s="112">
        <f t="shared" si="64"/>
        <v>2051</v>
      </c>
      <c r="AU186" s="112">
        <f t="shared" si="64"/>
        <v>2052</v>
      </c>
      <c r="AV186" s="112">
        <f t="shared" si="64"/>
        <v>2053</v>
      </c>
      <c r="AW186" s="112">
        <f t="shared" si="64"/>
        <v>2054</v>
      </c>
      <c r="AX186" s="112">
        <f t="shared" si="64"/>
        <v>2055</v>
      </c>
    </row>
    <row r="187" spans="1:50" s="94" customFormat="1" ht="12">
      <c r="A187" s="92"/>
      <c r="B187" s="58"/>
      <c r="C187" s="70" t="s">
        <v>182</v>
      </c>
      <c r="D187" s="230"/>
      <c r="E187" s="237"/>
      <c r="F187" s="108">
        <f>1/1.03</f>
        <v>0.970873786407767</v>
      </c>
      <c r="G187" s="108">
        <f>F187/1.03</f>
        <v>0.94259590913375435</v>
      </c>
      <c r="H187" s="108">
        <f t="shared" ref="H187:AC187" si="65">G187/1.03</f>
        <v>0.9151416593531595</v>
      </c>
      <c r="I187" s="108">
        <f t="shared" si="65"/>
        <v>0.88848704791568878</v>
      </c>
      <c r="J187" s="108">
        <f t="shared" si="65"/>
        <v>0.86260878438416388</v>
      </c>
      <c r="K187" s="108">
        <f t="shared" si="65"/>
        <v>0.83748425668365423</v>
      </c>
      <c r="L187" s="108">
        <f t="shared" si="65"/>
        <v>0.81309151134335356</v>
      </c>
      <c r="M187" s="108">
        <f t="shared" si="65"/>
        <v>0.7894092343139355</v>
      </c>
      <c r="N187" s="108">
        <f t="shared" si="65"/>
        <v>0.76641673234362673</v>
      </c>
      <c r="O187" s="108">
        <f t="shared" si="65"/>
        <v>0.74409391489672494</v>
      </c>
      <c r="P187" s="108">
        <f t="shared" si="65"/>
        <v>0.7224212765987621</v>
      </c>
      <c r="Q187" s="108">
        <f t="shared" si="65"/>
        <v>0.70137988019297293</v>
      </c>
      <c r="R187" s="108">
        <f t="shared" si="65"/>
        <v>0.68095133999317758</v>
      </c>
      <c r="S187" s="108">
        <f t="shared" si="65"/>
        <v>0.66111780581861901</v>
      </c>
      <c r="T187" s="108">
        <f t="shared" si="65"/>
        <v>0.64186194739671742</v>
      </c>
      <c r="U187" s="108">
        <f t="shared" si="65"/>
        <v>0.62316693922011401</v>
      </c>
      <c r="V187" s="108">
        <f t="shared" si="65"/>
        <v>0.60501644584477088</v>
      </c>
      <c r="W187" s="108">
        <f t="shared" si="65"/>
        <v>0.58739460761628237</v>
      </c>
      <c r="X187" s="108">
        <f t="shared" si="65"/>
        <v>0.57028602681192464</v>
      </c>
      <c r="Y187" s="108">
        <f t="shared" si="65"/>
        <v>0.55367575418633463</v>
      </c>
      <c r="Z187" s="108">
        <f t="shared" si="65"/>
        <v>0.53754927590906276</v>
      </c>
      <c r="AA187" s="108">
        <f t="shared" si="65"/>
        <v>0.52189250088258521</v>
      </c>
      <c r="AB187" s="108">
        <f t="shared" si="65"/>
        <v>0.50669174842969433</v>
      </c>
      <c r="AC187" s="294">
        <f t="shared" si="65"/>
        <v>0.49193373633950904</v>
      </c>
      <c r="AD187" s="385"/>
      <c r="AE187" s="94">
        <f>AC187/1.03</f>
        <v>0.47760556926165926</v>
      </c>
      <c r="AF187" s="94">
        <f>AE187/1.03</f>
        <v>0.4636947274385041</v>
      </c>
      <c r="AG187" s="94">
        <f t="shared" ref="AG187:AX187" si="66">AF187/1.03</f>
        <v>0.45018905576553797</v>
      </c>
      <c r="AH187" s="94">
        <f t="shared" si="66"/>
        <v>0.43707675317042521</v>
      </c>
      <c r="AI187" s="94">
        <f t="shared" si="66"/>
        <v>0.42434636230138367</v>
      </c>
      <c r="AJ187" s="94">
        <f t="shared" si="66"/>
        <v>0.41198675951590646</v>
      </c>
      <c r="AK187" s="94">
        <f t="shared" si="66"/>
        <v>0.39998714516107425</v>
      </c>
      <c r="AL187" s="94">
        <f t="shared" si="66"/>
        <v>0.3883370341369653</v>
      </c>
      <c r="AM187" s="94">
        <f t="shared" si="66"/>
        <v>0.37702624673491775</v>
      </c>
      <c r="AN187" s="94">
        <f t="shared" si="66"/>
        <v>0.3660448997426386</v>
      </c>
      <c r="AO187" s="94">
        <f t="shared" si="66"/>
        <v>0.35538339780838696</v>
      </c>
      <c r="AP187" s="94">
        <f t="shared" si="66"/>
        <v>0.34503242505668635</v>
      </c>
      <c r="AQ187" s="94">
        <f t="shared" si="66"/>
        <v>0.33498293694823916</v>
      </c>
      <c r="AR187" s="94">
        <f t="shared" si="66"/>
        <v>0.3252261523769312</v>
      </c>
      <c r="AS187" s="94">
        <f t="shared" si="66"/>
        <v>0.31575354599702055</v>
      </c>
      <c r="AT187" s="94">
        <f t="shared" si="66"/>
        <v>0.30655684077380635</v>
      </c>
      <c r="AU187" s="94">
        <f t="shared" si="66"/>
        <v>0.29762800075126827</v>
      </c>
      <c r="AV187" s="94">
        <f t="shared" si="66"/>
        <v>0.28895922403035756</v>
      </c>
      <c r="AW187" s="94">
        <f t="shared" si="66"/>
        <v>0.28054293595180346</v>
      </c>
      <c r="AX187" s="94">
        <f t="shared" si="66"/>
        <v>0.27237178247747906</v>
      </c>
    </row>
    <row r="188" spans="1:50" s="112" customFormat="1" ht="12">
      <c r="A188" s="109"/>
      <c r="B188" s="58"/>
      <c r="C188" s="110" t="s">
        <v>180</v>
      </c>
      <c r="D188" s="227"/>
      <c r="E188" s="235">
        <f>SUM(F188:AC188)</f>
        <v>2916820.8215621142</v>
      </c>
      <c r="F188" s="111">
        <f>F186*F187</f>
        <v>0</v>
      </c>
      <c r="G188" s="111">
        <f t="shared" ref="G188:AC188" si="67">G186*G187</f>
        <v>-506275.68516756088</v>
      </c>
      <c r="H188" s="111">
        <f t="shared" si="67"/>
        <v>183601.37271418108</v>
      </c>
      <c r="I188" s="111">
        <f t="shared" si="67"/>
        <v>181805.52837244995</v>
      </c>
      <c r="J188" s="111">
        <f t="shared" si="67"/>
        <v>180040.18770479705</v>
      </c>
      <c r="K188" s="111">
        <f t="shared" si="67"/>
        <v>178130.3957852317</v>
      </c>
      <c r="L188" s="111">
        <f t="shared" si="67"/>
        <v>176124.37968198603</v>
      </c>
      <c r="M188" s="111">
        <f t="shared" si="67"/>
        <v>174064.12565241812</v>
      </c>
      <c r="N188" s="111">
        <f t="shared" si="67"/>
        <v>171955.30546858712</v>
      </c>
      <c r="O188" s="111">
        <f t="shared" si="67"/>
        <v>167740.43302388964</v>
      </c>
      <c r="P188" s="111">
        <f t="shared" si="67"/>
        <v>164227.14233373283</v>
      </c>
      <c r="Q188" s="111">
        <f t="shared" si="67"/>
        <v>160780.60551929567</v>
      </c>
      <c r="R188" s="111">
        <f t="shared" si="67"/>
        <v>157399.85466581956</v>
      </c>
      <c r="S188" s="111">
        <f t="shared" si="67"/>
        <v>154083.92231034176</v>
      </c>
      <c r="T188" s="111">
        <f t="shared" si="67"/>
        <v>150831.84223549656</v>
      </c>
      <c r="U188" s="111">
        <f t="shared" si="67"/>
        <v>147642.650216346</v>
      </c>
      <c r="V188" s="111">
        <f t="shared" si="67"/>
        <v>144515.38472232025</v>
      </c>
      <c r="W188" s="111">
        <f t="shared" si="67"/>
        <v>141449.08757626757</v>
      </c>
      <c r="X188" s="111">
        <f t="shared" si="67"/>
        <v>138442.80457253184</v>
      </c>
      <c r="Y188" s="111">
        <f t="shared" si="67"/>
        <v>135495.58605590195</v>
      </c>
      <c r="Z188" s="111">
        <f t="shared" si="67"/>
        <v>132722.34241266534</v>
      </c>
      <c r="AA188" s="111">
        <f t="shared" si="67"/>
        <v>130001.08431251008</v>
      </c>
      <c r="AB188" s="111">
        <f t="shared" si="67"/>
        <v>127331.03814499349</v>
      </c>
      <c r="AC188" s="416">
        <f t="shared" si="67"/>
        <v>124711.43324791071</v>
      </c>
      <c r="AD188" s="386">
        <f t="shared" si="57"/>
        <v>2916820.8215621142</v>
      </c>
    </row>
    <row r="189" spans="1:50" s="112" customFormat="1" ht="12">
      <c r="A189" s="92"/>
      <c r="B189" s="58"/>
      <c r="C189" s="70" t="s">
        <v>183</v>
      </c>
      <c r="D189" s="230"/>
      <c r="E189" s="237"/>
      <c r="F189" s="108">
        <f>1/1.07</f>
        <v>0.93457943925233644</v>
      </c>
      <c r="G189" s="108">
        <f>F189/1.07</f>
        <v>0.87343872827321156</v>
      </c>
      <c r="H189" s="108">
        <f t="shared" ref="H189:AC189" si="68">G189/1.07</f>
        <v>0.81629787689085187</v>
      </c>
      <c r="I189" s="108">
        <f t="shared" si="68"/>
        <v>0.76289521204752508</v>
      </c>
      <c r="J189" s="108">
        <f t="shared" si="68"/>
        <v>0.71298617948366827</v>
      </c>
      <c r="K189" s="108">
        <f t="shared" si="68"/>
        <v>0.66634222381651231</v>
      </c>
      <c r="L189" s="108">
        <f t="shared" si="68"/>
        <v>0.62274974188459087</v>
      </c>
      <c r="M189" s="108">
        <f t="shared" si="68"/>
        <v>0.58200910456503818</v>
      </c>
      <c r="N189" s="108">
        <f t="shared" si="68"/>
        <v>0.54393374258414784</v>
      </c>
      <c r="O189" s="108">
        <f t="shared" si="68"/>
        <v>0.50834929213471758</v>
      </c>
      <c r="P189" s="108">
        <f t="shared" si="68"/>
        <v>0.4750927963875865</v>
      </c>
      <c r="Q189" s="108">
        <f t="shared" si="68"/>
        <v>0.444011959240735</v>
      </c>
      <c r="R189" s="108">
        <f t="shared" si="68"/>
        <v>0.41496444788853737</v>
      </c>
      <c r="S189" s="108">
        <f t="shared" si="68"/>
        <v>0.38781724101732462</v>
      </c>
      <c r="T189" s="108">
        <f t="shared" si="68"/>
        <v>0.36244601964235945</v>
      </c>
      <c r="U189" s="108">
        <f t="shared" si="68"/>
        <v>0.33873459779659759</v>
      </c>
      <c r="V189" s="108">
        <f t="shared" si="68"/>
        <v>0.3165743904641099</v>
      </c>
      <c r="W189" s="108">
        <f t="shared" si="68"/>
        <v>0.29586391632159803</v>
      </c>
      <c r="X189" s="108">
        <f t="shared" si="68"/>
        <v>0.27650833301083927</v>
      </c>
      <c r="Y189" s="108">
        <f t="shared" si="68"/>
        <v>0.25841900281386848</v>
      </c>
      <c r="Z189" s="108">
        <f t="shared" si="68"/>
        <v>0.24151308674193314</v>
      </c>
      <c r="AA189" s="108">
        <f t="shared" si="68"/>
        <v>0.22571316517937676</v>
      </c>
      <c r="AB189" s="108">
        <f t="shared" si="68"/>
        <v>0.21094688334521192</v>
      </c>
      <c r="AC189" s="294">
        <f t="shared" si="68"/>
        <v>0.19714661994879618</v>
      </c>
      <c r="AD189" s="385"/>
      <c r="AE189" s="112">
        <f>AC189/1.03</f>
        <v>0.19140448538718075</v>
      </c>
      <c r="AF189" s="112">
        <f>AE189/1.03</f>
        <v>0.18582959746328226</v>
      </c>
      <c r="AG189" s="112">
        <f t="shared" ref="AG189:AX189" si="69">AF189/1.03</f>
        <v>0.18041708491580802</v>
      </c>
      <c r="AH189" s="112">
        <f t="shared" si="69"/>
        <v>0.17516221836486215</v>
      </c>
      <c r="AI189" s="112">
        <f t="shared" si="69"/>
        <v>0.17006040617947782</v>
      </c>
      <c r="AJ189" s="112">
        <f t="shared" si="69"/>
        <v>0.16510719046551245</v>
      </c>
      <c r="AK189" s="112">
        <f t="shared" si="69"/>
        <v>0.16029824317040042</v>
      </c>
      <c r="AL189" s="112">
        <f t="shared" si="69"/>
        <v>0.15562936230135963</v>
      </c>
      <c r="AM189" s="112">
        <f t="shared" si="69"/>
        <v>0.1510964682537472</v>
      </c>
      <c r="AN189" s="112">
        <f t="shared" si="69"/>
        <v>0.1466956002463565</v>
      </c>
      <c r="AO189" s="112">
        <f t="shared" si="69"/>
        <v>0.14242291286054029</v>
      </c>
      <c r="AP189" s="112">
        <f t="shared" si="69"/>
        <v>0.13827467268013621</v>
      </c>
      <c r="AQ189" s="112">
        <f t="shared" si="69"/>
        <v>0.13424725502925847</v>
      </c>
      <c r="AR189" s="112">
        <f t="shared" si="69"/>
        <v>0.13033714080510531</v>
      </c>
      <c r="AS189" s="112">
        <f t="shared" si="69"/>
        <v>0.12654091340301485</v>
      </c>
      <c r="AT189" s="112">
        <f t="shared" si="69"/>
        <v>0.12285525573108237</v>
      </c>
      <c r="AU189" s="112">
        <f t="shared" si="69"/>
        <v>0.11927694731173046</v>
      </c>
      <c r="AV189" s="112">
        <f t="shared" si="69"/>
        <v>0.11580286146769947</v>
      </c>
      <c r="AW189" s="112">
        <f t="shared" si="69"/>
        <v>0.11242996258999949</v>
      </c>
      <c r="AX189" s="112">
        <f t="shared" si="69"/>
        <v>0.10915530348543639</v>
      </c>
    </row>
    <row r="190" spans="1:50" s="112" customFormat="1" ht="12">
      <c r="A190" s="109"/>
      <c r="B190" s="58"/>
      <c r="C190" s="110" t="s">
        <v>181</v>
      </c>
      <c r="D190" s="227"/>
      <c r="E190" s="235">
        <f>SUM(F190:AC190)</f>
        <v>1698738.1441822716</v>
      </c>
      <c r="F190" s="111">
        <f>F186*F189</f>
        <v>0</v>
      </c>
      <c r="G190" s="111">
        <f t="shared" ref="G190:AC190" si="70">G186*G189</f>
        <v>-469130.81875645497</v>
      </c>
      <c r="H190" s="111">
        <f t="shared" si="70"/>
        <v>163770.72249859714</v>
      </c>
      <c r="I190" s="111">
        <f t="shared" si="70"/>
        <v>156106.4592269375</v>
      </c>
      <c r="J190" s="111">
        <f t="shared" si="70"/>
        <v>148811.56778018354</v>
      </c>
      <c r="K190" s="111">
        <f t="shared" si="70"/>
        <v>141728.99742243413</v>
      </c>
      <c r="L190" s="111">
        <f t="shared" si="70"/>
        <v>134894.30212514426</v>
      </c>
      <c r="M190" s="111">
        <f t="shared" si="70"/>
        <v>128332.55744202762</v>
      </c>
      <c r="N190" s="111">
        <f t="shared" si="70"/>
        <v>122038.42754674268</v>
      </c>
      <c r="O190" s="111">
        <f t="shared" si="70"/>
        <v>114596.73124984538</v>
      </c>
      <c r="P190" s="111">
        <f t="shared" si="70"/>
        <v>108002.26242147338</v>
      </c>
      <c r="Q190" s="111">
        <f t="shared" si="70"/>
        <v>101782.94770145509</v>
      </c>
      <c r="R190" s="111">
        <f t="shared" si="70"/>
        <v>95917.784360028178</v>
      </c>
      <c r="S190" s="111">
        <f t="shared" si="70"/>
        <v>90386.919108209593</v>
      </c>
      <c r="T190" s="111">
        <f t="shared" si="70"/>
        <v>85171.587247547155</v>
      </c>
      <c r="U190" s="111">
        <f t="shared" si="70"/>
        <v>80254.054878531766</v>
      </c>
      <c r="V190" s="111">
        <f t="shared" si="70"/>
        <v>75617.564027165179</v>
      </c>
      <c r="W190" s="111">
        <f t="shared" si="70"/>
        <v>71246.280554501922</v>
      </c>
      <c r="X190" s="111">
        <f t="shared" si="70"/>
        <v>67125.244719209615</v>
      </c>
      <c r="Y190" s="111">
        <f t="shared" si="70"/>
        <v>63240.324268313583</v>
      </c>
      <c r="Z190" s="111">
        <f t="shared" si="70"/>
        <v>59630.22188337057</v>
      </c>
      <c r="AA190" s="111">
        <f t="shared" si="70"/>
        <v>56224.13843330778</v>
      </c>
      <c r="AB190" s="111">
        <f t="shared" si="70"/>
        <v>53010.702726144009</v>
      </c>
      <c r="AC190" s="416">
        <f t="shared" si="70"/>
        <v>49979.165317556384</v>
      </c>
      <c r="AD190" s="386">
        <f t="shared" si="57"/>
        <v>1698738.1441822716</v>
      </c>
    </row>
    <row r="191" spans="1:50" s="53" customFormat="1" ht="12">
      <c r="A191" s="109"/>
      <c r="B191" s="58"/>
      <c r="C191" s="110"/>
      <c r="D191" s="227"/>
      <c r="E191" s="235"/>
      <c r="F191" s="111"/>
      <c r="G191" s="111"/>
      <c r="AC191" s="283"/>
      <c r="AD191" s="361">
        <f t="shared" si="57"/>
        <v>0</v>
      </c>
    </row>
    <row r="192" spans="1:50" s="53" customFormat="1" ht="12">
      <c r="A192" s="45"/>
      <c r="B192" s="58"/>
      <c r="C192" s="302" t="s">
        <v>187</v>
      </c>
      <c r="D192" s="232"/>
      <c r="E192" s="323">
        <f>IRR(F186:AC186)</f>
        <v>0.39067735464108677</v>
      </c>
      <c r="F192" s="45"/>
      <c r="G192" s="57"/>
      <c r="AC192" s="283"/>
      <c r="AD192" s="361"/>
    </row>
    <row r="193" spans="1:53" s="115" customFormat="1" ht="12">
      <c r="A193" s="113"/>
      <c r="B193" s="58"/>
      <c r="C193" s="117"/>
      <c r="D193" s="119"/>
      <c r="E193" s="113"/>
      <c r="F193" s="114"/>
      <c r="G193" s="114"/>
      <c r="H193" s="114"/>
      <c r="I193" s="114"/>
      <c r="J193" s="114"/>
      <c r="K193" s="114"/>
      <c r="L193" s="114"/>
      <c r="M193" s="114"/>
      <c r="N193" s="114"/>
      <c r="O193" s="114"/>
      <c r="P193" s="114"/>
      <c r="Q193" s="114"/>
      <c r="R193" s="114"/>
      <c r="S193" s="114"/>
      <c r="T193" s="114"/>
      <c r="U193" s="114"/>
      <c r="V193" s="114"/>
      <c r="W193" s="114"/>
      <c r="X193" s="114"/>
      <c r="Y193" s="114"/>
      <c r="AC193" s="295"/>
      <c r="AD193" s="387"/>
    </row>
    <row r="194" spans="1:53" s="115" customFormat="1" ht="12">
      <c r="A194" s="113"/>
      <c r="B194" s="58"/>
      <c r="C194" s="120"/>
      <c r="D194" s="119"/>
      <c r="E194" s="113"/>
      <c r="F194" s="113"/>
      <c r="G194" s="116"/>
      <c r="AC194" s="295"/>
      <c r="AD194" s="387"/>
    </row>
    <row r="195" spans="1:53" s="115" customFormat="1" ht="12">
      <c r="A195" s="113"/>
      <c r="B195" s="113"/>
      <c r="C195" s="117"/>
      <c r="D195" s="121"/>
      <c r="E195" s="122"/>
      <c r="F195" s="122"/>
      <c r="G195" s="118"/>
      <c r="H195" s="118"/>
      <c r="I195" s="118"/>
      <c r="J195" s="118"/>
      <c r="K195" s="118"/>
      <c r="L195" s="118"/>
      <c r="M195" s="118"/>
      <c r="N195" s="118"/>
      <c r="O195" s="118"/>
      <c r="P195" s="118"/>
      <c r="Q195" s="118"/>
      <c r="R195" s="118"/>
      <c r="S195" s="118"/>
      <c r="T195" s="118"/>
      <c r="U195" s="118"/>
      <c r="V195" s="118"/>
      <c r="W195" s="118"/>
      <c r="X195" s="118"/>
      <c r="Y195" s="118"/>
      <c r="AC195" s="295"/>
      <c r="AD195" s="387"/>
    </row>
    <row r="196" spans="1:53">
      <c r="A196" s="25"/>
      <c r="B196" s="25"/>
      <c r="C196" s="52"/>
      <c r="D196" s="42"/>
      <c r="E196" s="42"/>
      <c r="F196" s="42"/>
    </row>
    <row r="197" spans="1:53" ht="15.75">
      <c r="A197" s="25"/>
      <c r="B197" s="25"/>
      <c r="C197" s="425" t="s">
        <v>1</v>
      </c>
      <c r="D197" s="442">
        <f>SUM(D198:D201)</f>
        <v>1579.4474459101727</v>
      </c>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row>
    <row r="198" spans="1:53" ht="15.75">
      <c r="A198" s="25"/>
      <c r="B198" s="25"/>
      <c r="C198" s="427" t="s">
        <v>199</v>
      </c>
      <c r="D198" s="440">
        <f>-SUM(F198:AC198)/1000</f>
        <v>501.58997999999997</v>
      </c>
      <c r="F198" s="446">
        <f>F6</f>
        <v>0</v>
      </c>
      <c r="G198" s="446">
        <f t="shared" ref="G198:AC198" si="71">G6</f>
        <v>-501589.98</v>
      </c>
      <c r="H198" s="446">
        <f t="shared" si="71"/>
        <v>0</v>
      </c>
      <c r="I198" s="446">
        <f t="shared" si="71"/>
        <v>0</v>
      </c>
      <c r="J198" s="446">
        <f t="shared" si="71"/>
        <v>0</v>
      </c>
      <c r="K198" s="446">
        <f t="shared" si="71"/>
        <v>0</v>
      </c>
      <c r="L198" s="446">
        <f t="shared" si="71"/>
        <v>0</v>
      </c>
      <c r="M198" s="446">
        <f t="shared" si="71"/>
        <v>0</v>
      </c>
      <c r="N198" s="446">
        <f t="shared" si="71"/>
        <v>0</v>
      </c>
      <c r="O198" s="446">
        <f t="shared" si="71"/>
        <v>0</v>
      </c>
      <c r="P198" s="446">
        <f t="shared" si="71"/>
        <v>0</v>
      </c>
      <c r="Q198" s="446">
        <f t="shared" si="71"/>
        <v>0</v>
      </c>
      <c r="R198" s="446">
        <f t="shared" si="71"/>
        <v>0</v>
      </c>
      <c r="S198" s="446">
        <f t="shared" si="71"/>
        <v>0</v>
      </c>
      <c r="T198" s="446">
        <f t="shared" si="71"/>
        <v>0</v>
      </c>
      <c r="U198" s="446">
        <f t="shared" si="71"/>
        <v>0</v>
      </c>
      <c r="V198" s="446">
        <f t="shared" si="71"/>
        <v>0</v>
      </c>
      <c r="W198" s="446">
        <f t="shared" si="71"/>
        <v>0</v>
      </c>
      <c r="X198" s="446">
        <f t="shared" si="71"/>
        <v>0</v>
      </c>
      <c r="Y198" s="446">
        <f t="shared" si="71"/>
        <v>0</v>
      </c>
      <c r="Z198" s="446">
        <f t="shared" si="71"/>
        <v>0</v>
      </c>
      <c r="AA198" s="446">
        <f t="shared" si="71"/>
        <v>0</v>
      </c>
      <c r="AB198" s="446">
        <f t="shared" si="71"/>
        <v>0</v>
      </c>
      <c r="AC198" s="446">
        <f t="shared" si="71"/>
        <v>0</v>
      </c>
    </row>
    <row r="199" spans="1:53" ht="15.75">
      <c r="A199" s="25"/>
      <c r="B199" s="25"/>
      <c r="C199" s="427" t="s">
        <v>200</v>
      </c>
      <c r="D199" s="440">
        <f>-SUM(F199:AC199)/1000</f>
        <v>0</v>
      </c>
      <c r="E199" s="42"/>
      <c r="F199" s="446">
        <f>F5</f>
        <v>0</v>
      </c>
      <c r="G199" s="446">
        <f t="shared" ref="G199:AC199" si="72">G5</f>
        <v>0</v>
      </c>
      <c r="H199" s="446">
        <f t="shared" si="72"/>
        <v>0</v>
      </c>
      <c r="I199" s="446">
        <f t="shared" si="72"/>
        <v>0</v>
      </c>
      <c r="J199" s="446">
        <f t="shared" si="72"/>
        <v>0</v>
      </c>
      <c r="K199" s="446">
        <f t="shared" si="72"/>
        <v>0</v>
      </c>
      <c r="L199" s="446">
        <f t="shared" si="72"/>
        <v>0</v>
      </c>
      <c r="M199" s="446">
        <f t="shared" si="72"/>
        <v>0</v>
      </c>
      <c r="N199" s="446">
        <f t="shared" si="72"/>
        <v>0</v>
      </c>
      <c r="O199" s="446">
        <f t="shared" si="72"/>
        <v>0</v>
      </c>
      <c r="P199" s="446">
        <f t="shared" si="72"/>
        <v>0</v>
      </c>
      <c r="Q199" s="446">
        <f t="shared" si="72"/>
        <v>0</v>
      </c>
      <c r="R199" s="446">
        <f t="shared" si="72"/>
        <v>0</v>
      </c>
      <c r="S199" s="446">
        <f t="shared" si="72"/>
        <v>0</v>
      </c>
      <c r="T199" s="446">
        <f t="shared" si="72"/>
        <v>0</v>
      </c>
      <c r="U199" s="446">
        <f t="shared" si="72"/>
        <v>0</v>
      </c>
      <c r="V199" s="446">
        <f t="shared" si="72"/>
        <v>0</v>
      </c>
      <c r="W199" s="446">
        <f t="shared" si="72"/>
        <v>0</v>
      </c>
      <c r="X199" s="446">
        <f t="shared" si="72"/>
        <v>0</v>
      </c>
      <c r="Y199" s="446">
        <f t="shared" si="72"/>
        <v>0</v>
      </c>
      <c r="Z199" s="446">
        <f t="shared" si="72"/>
        <v>0</v>
      </c>
      <c r="AA199" s="446">
        <f t="shared" si="72"/>
        <v>0</v>
      </c>
      <c r="AB199" s="446">
        <f t="shared" si="72"/>
        <v>0</v>
      </c>
      <c r="AC199" s="446">
        <f t="shared" si="72"/>
        <v>0</v>
      </c>
    </row>
    <row r="200" spans="1:53" ht="15.75">
      <c r="A200" s="25"/>
      <c r="B200" s="25"/>
      <c r="C200" s="428" t="s">
        <v>563</v>
      </c>
      <c r="D200" s="440">
        <f>-SUM(F200:AC200)/1000</f>
        <v>35.51789439426539</v>
      </c>
      <c r="E200" s="42"/>
      <c r="F200" s="446">
        <f>F119</f>
        <v>0</v>
      </c>
      <c r="G200" s="446">
        <f t="shared" ref="G200:AC200" si="73">G119</f>
        <v>-35517.894394265393</v>
      </c>
      <c r="H200" s="446">
        <f t="shared" si="73"/>
        <v>0</v>
      </c>
      <c r="I200" s="446">
        <f t="shared" si="73"/>
        <v>0</v>
      </c>
      <c r="J200" s="446">
        <f t="shared" si="73"/>
        <v>0</v>
      </c>
      <c r="K200" s="446">
        <f t="shared" si="73"/>
        <v>0</v>
      </c>
      <c r="L200" s="446">
        <f t="shared" si="73"/>
        <v>0</v>
      </c>
      <c r="M200" s="446">
        <f t="shared" si="73"/>
        <v>0</v>
      </c>
      <c r="N200" s="446">
        <f t="shared" si="73"/>
        <v>0</v>
      </c>
      <c r="O200" s="446">
        <f t="shared" si="73"/>
        <v>0</v>
      </c>
      <c r="P200" s="446">
        <f t="shared" si="73"/>
        <v>0</v>
      </c>
      <c r="Q200" s="446">
        <f t="shared" si="73"/>
        <v>0</v>
      </c>
      <c r="R200" s="446">
        <f t="shared" si="73"/>
        <v>0</v>
      </c>
      <c r="S200" s="446">
        <f t="shared" si="73"/>
        <v>0</v>
      </c>
      <c r="T200" s="446">
        <f t="shared" si="73"/>
        <v>0</v>
      </c>
      <c r="U200" s="446">
        <f t="shared" si="73"/>
        <v>0</v>
      </c>
      <c r="V200" s="446">
        <f t="shared" si="73"/>
        <v>0</v>
      </c>
      <c r="W200" s="446">
        <f t="shared" si="73"/>
        <v>0</v>
      </c>
      <c r="X200" s="446">
        <f t="shared" si="73"/>
        <v>0</v>
      </c>
      <c r="Y200" s="446">
        <f t="shared" si="73"/>
        <v>0</v>
      </c>
      <c r="Z200" s="446">
        <f t="shared" si="73"/>
        <v>0</v>
      </c>
      <c r="AA200" s="446">
        <f t="shared" si="73"/>
        <v>0</v>
      </c>
      <c r="AB200" s="446">
        <f t="shared" si="73"/>
        <v>0</v>
      </c>
      <c r="AC200" s="446">
        <f t="shared" si="73"/>
        <v>0</v>
      </c>
    </row>
    <row r="201" spans="1:53" ht="15.75">
      <c r="A201" s="25"/>
      <c r="B201" s="25"/>
      <c r="C201" s="427" t="s">
        <v>201</v>
      </c>
      <c r="D201" s="440">
        <f>-SUM(F201:AC201)/1000</f>
        <v>1042.3395715159074</v>
      </c>
      <c r="E201" s="43"/>
      <c r="F201" s="446">
        <f>F151+F153+F164+F166</f>
        <v>0</v>
      </c>
      <c r="G201" s="446">
        <f t="shared" ref="G201:AC201" si="74">G151+G153+G164+G166</f>
        <v>0</v>
      </c>
      <c r="H201" s="446">
        <f t="shared" si="74"/>
        <v>-40402.668938233503</v>
      </c>
      <c r="I201" s="446">
        <f t="shared" si="74"/>
        <v>-41407.513799075998</v>
      </c>
      <c r="J201" s="446">
        <f t="shared" si="74"/>
        <v>-42412.358659918478</v>
      </c>
      <c r="K201" s="446">
        <f t="shared" si="74"/>
        <v>-43417.203520760973</v>
      </c>
      <c r="L201" s="446">
        <f t="shared" si="74"/>
        <v>-44422.048381603447</v>
      </c>
      <c r="M201" s="446">
        <f t="shared" si="74"/>
        <v>-45426.893242445956</v>
      </c>
      <c r="N201" s="446">
        <f t="shared" si="74"/>
        <v>-46431.738103288437</v>
      </c>
      <c r="O201" s="446">
        <f t="shared" si="74"/>
        <v>-46781.263730965555</v>
      </c>
      <c r="P201" s="446">
        <f t="shared" si="74"/>
        <v>-47130.789358642687</v>
      </c>
      <c r="Q201" s="446">
        <f t="shared" si="74"/>
        <v>-47480.314986319783</v>
      </c>
      <c r="R201" s="446">
        <f t="shared" si="74"/>
        <v>-47829.840613996923</v>
      </c>
      <c r="S201" s="446">
        <f t="shared" si="74"/>
        <v>-48179.366241674026</v>
      </c>
      <c r="T201" s="446">
        <f t="shared" si="74"/>
        <v>-48528.891869351144</v>
      </c>
      <c r="U201" s="446">
        <f t="shared" si="74"/>
        <v>-48878.417497028247</v>
      </c>
      <c r="V201" s="446">
        <f t="shared" si="74"/>
        <v>-49227.943124705365</v>
      </c>
      <c r="W201" s="446">
        <f t="shared" si="74"/>
        <v>-49577.468752382483</v>
      </c>
      <c r="X201" s="446">
        <f t="shared" si="74"/>
        <v>-49926.994380059608</v>
      </c>
      <c r="Y201" s="446">
        <f t="shared" si="74"/>
        <v>-50276.520007736719</v>
      </c>
      <c r="Z201" s="446">
        <f t="shared" si="74"/>
        <v>-50626.04563541383</v>
      </c>
      <c r="AA201" s="446">
        <f t="shared" si="74"/>
        <v>-50975.571263090955</v>
      </c>
      <c r="AB201" s="446">
        <f t="shared" si="74"/>
        <v>-51325.096890768065</v>
      </c>
      <c r="AC201" s="446">
        <f t="shared" si="74"/>
        <v>-51674.622518445205</v>
      </c>
    </row>
    <row r="202" spans="1:53" ht="15.75">
      <c r="A202" s="25"/>
      <c r="B202" s="25"/>
      <c r="C202" s="426"/>
      <c r="D202" s="441"/>
      <c r="F202" s="438">
        <f>SUM(F198:F201)</f>
        <v>0</v>
      </c>
      <c r="G202" s="438">
        <f t="shared" ref="G202:AC202" si="75">SUM(G198:G201)</f>
        <v>-537107.87439426535</v>
      </c>
      <c r="H202" s="438">
        <f t="shared" si="75"/>
        <v>-40402.668938233503</v>
      </c>
      <c r="I202" s="438">
        <f t="shared" si="75"/>
        <v>-41407.513799075998</v>
      </c>
      <c r="J202" s="438">
        <f t="shared" si="75"/>
        <v>-42412.358659918478</v>
      </c>
      <c r="K202" s="438">
        <f t="shared" si="75"/>
        <v>-43417.203520760973</v>
      </c>
      <c r="L202" s="438">
        <f t="shared" si="75"/>
        <v>-44422.048381603447</v>
      </c>
      <c r="M202" s="438">
        <f t="shared" si="75"/>
        <v>-45426.893242445956</v>
      </c>
      <c r="N202" s="438">
        <f t="shared" si="75"/>
        <v>-46431.738103288437</v>
      </c>
      <c r="O202" s="438">
        <f t="shared" si="75"/>
        <v>-46781.263730965555</v>
      </c>
      <c r="P202" s="438">
        <f t="shared" si="75"/>
        <v>-47130.789358642687</v>
      </c>
      <c r="Q202" s="438">
        <f t="shared" si="75"/>
        <v>-47480.314986319783</v>
      </c>
      <c r="R202" s="438">
        <f t="shared" si="75"/>
        <v>-47829.840613996923</v>
      </c>
      <c r="S202" s="438">
        <f t="shared" si="75"/>
        <v>-48179.366241674026</v>
      </c>
      <c r="T202" s="438">
        <f t="shared" si="75"/>
        <v>-48528.891869351144</v>
      </c>
      <c r="U202" s="438">
        <f t="shared" si="75"/>
        <v>-48878.417497028247</v>
      </c>
      <c r="V202" s="438">
        <f t="shared" si="75"/>
        <v>-49227.943124705365</v>
      </c>
      <c r="W202" s="438">
        <f t="shared" si="75"/>
        <v>-49577.468752382483</v>
      </c>
      <c r="X202" s="438">
        <f t="shared" si="75"/>
        <v>-49926.994380059608</v>
      </c>
      <c r="Y202" s="438">
        <f t="shared" si="75"/>
        <v>-50276.520007736719</v>
      </c>
      <c r="Z202" s="438">
        <f t="shared" si="75"/>
        <v>-50626.04563541383</v>
      </c>
      <c r="AA202" s="438">
        <f t="shared" si="75"/>
        <v>-50975.571263090955</v>
      </c>
      <c r="AB202" s="438">
        <f t="shared" si="75"/>
        <v>-51325.096890768065</v>
      </c>
      <c r="AC202" s="438">
        <f t="shared" si="75"/>
        <v>-51674.622518445205</v>
      </c>
    </row>
    <row r="203" spans="1:53" s="76" customFormat="1" ht="15.75">
      <c r="A203" s="25"/>
      <c r="B203" s="25"/>
      <c r="C203" s="425" t="s">
        <v>0</v>
      </c>
      <c r="D203" s="442">
        <f>SUM(D204:D210)</f>
        <v>6116.5541876728685</v>
      </c>
      <c r="E203" s="25"/>
      <c r="F203" s="25"/>
      <c r="G203" s="25"/>
      <c r="H203" s="25"/>
      <c r="I203" s="25"/>
      <c r="J203" s="25"/>
      <c r="K203" s="25"/>
      <c r="L203" s="25"/>
      <c r="M203" s="25"/>
      <c r="N203" s="25"/>
      <c r="O203" s="25"/>
      <c r="P203" s="25"/>
      <c r="Q203" s="25"/>
      <c r="R203" s="25"/>
      <c r="S203" s="25"/>
      <c r="T203" s="25"/>
      <c r="U203" s="25"/>
      <c r="V203" s="25"/>
      <c r="W203" s="25"/>
      <c r="X203" s="25"/>
      <c r="Y203" s="25"/>
      <c r="Z203" s="25"/>
      <c r="AA203" s="25"/>
      <c r="AB203" s="25"/>
      <c r="AC203" s="25"/>
      <c r="AD203" s="358"/>
      <c r="AE203"/>
      <c r="AF203"/>
      <c r="AG203"/>
      <c r="AH203"/>
      <c r="AI203"/>
      <c r="AJ203"/>
      <c r="AK203"/>
      <c r="AL203"/>
      <c r="AM203"/>
      <c r="AN203"/>
      <c r="AO203"/>
      <c r="AP203"/>
      <c r="AQ203"/>
      <c r="AR203"/>
      <c r="AS203"/>
      <c r="AT203"/>
      <c r="AU203"/>
      <c r="AV203"/>
      <c r="AW203"/>
      <c r="AX203"/>
      <c r="AY203"/>
      <c r="AZ203"/>
      <c r="BA203"/>
    </row>
    <row r="204" spans="1:53" s="76" customFormat="1" ht="15.75">
      <c r="A204" s="25"/>
      <c r="B204" s="25"/>
      <c r="C204" s="427" t="s">
        <v>599</v>
      </c>
      <c r="D204" s="440">
        <f t="shared" ref="D204:D210" si="76">SUM(F204:AC204)/1000</f>
        <v>641.74969004616457</v>
      </c>
      <c r="E204" s="25"/>
      <c r="F204" s="447">
        <f>F45+F57+F71+F84</f>
        <v>0</v>
      </c>
      <c r="G204" s="447">
        <f t="shared" ref="G204:AC204" si="77">G45+G57+G71+G84</f>
        <v>0</v>
      </c>
      <c r="H204" s="447">
        <f t="shared" si="77"/>
        <v>21882.436131414892</v>
      </c>
      <c r="I204" s="447">
        <f t="shared" si="77"/>
        <v>22694.498789987741</v>
      </c>
      <c r="J204" s="447">
        <f t="shared" si="77"/>
        <v>23521.460142547519</v>
      </c>
      <c r="K204" s="447">
        <f t="shared" si="77"/>
        <v>24363.475486206749</v>
      </c>
      <c r="L204" s="447">
        <f t="shared" si="77"/>
        <v>25220.702283930612</v>
      </c>
      <c r="M204" s="447">
        <f t="shared" si="77"/>
        <v>26093.300202426522</v>
      </c>
      <c r="N204" s="447">
        <f t="shared" si="77"/>
        <v>26981.431150832061</v>
      </c>
      <c r="O204" s="447">
        <f t="shared" si="77"/>
        <v>27500.034550380944</v>
      </c>
      <c r="P204" s="447">
        <f t="shared" si="77"/>
        <v>28025.600185176358</v>
      </c>
      <c r="Q204" s="447">
        <f t="shared" si="77"/>
        <v>28558.20217145346</v>
      </c>
      <c r="R204" s="447">
        <f t="shared" si="77"/>
        <v>29097.915681195936</v>
      </c>
      <c r="S204" s="447">
        <f t="shared" si="77"/>
        <v>29644.816961001798</v>
      </c>
      <c r="T204" s="447">
        <f t="shared" si="77"/>
        <v>30198.983351354647</v>
      </c>
      <c r="U204" s="447">
        <f t="shared" si="77"/>
        <v>30760.493306311429</v>
      </c>
      <c r="V204" s="447">
        <f t="shared" si="77"/>
        <v>31329.426413616569</v>
      </c>
      <c r="W204" s="447">
        <f t="shared" si="77"/>
        <v>31905.863415254327</v>
      </c>
      <c r="X204" s="447">
        <f t="shared" si="77"/>
        <v>32489.886228449119</v>
      </c>
      <c r="Y204" s="447">
        <f t="shared" si="77"/>
        <v>33081.577967126541</v>
      </c>
      <c r="Z204" s="447">
        <f t="shared" si="77"/>
        <v>33681.022963846219</v>
      </c>
      <c r="AA204" s="447">
        <f t="shared" si="77"/>
        <v>34288.306792218893</v>
      </c>
      <c r="AB204" s="447">
        <f t="shared" si="77"/>
        <v>34903.516289819825</v>
      </c>
      <c r="AC204" s="447">
        <f t="shared" si="77"/>
        <v>35526.739581612281</v>
      </c>
      <c r="AD204" s="358"/>
      <c r="AE204"/>
      <c r="AF204"/>
      <c r="AG204"/>
      <c r="AH204"/>
      <c r="AI204"/>
      <c r="AJ204"/>
      <c r="AK204"/>
      <c r="AL204"/>
      <c r="AM204"/>
      <c r="AN204"/>
      <c r="AO204"/>
      <c r="AP204"/>
      <c r="AQ204"/>
      <c r="AR204"/>
      <c r="AS204"/>
      <c r="AT204"/>
      <c r="AU204"/>
      <c r="AV204"/>
      <c r="AW204"/>
      <c r="AX204"/>
      <c r="AY204"/>
      <c r="AZ204"/>
      <c r="BA204"/>
    </row>
    <row r="205" spans="1:53" s="76" customFormat="1" ht="15.75">
      <c r="A205" s="25"/>
      <c r="B205" s="25"/>
      <c r="C205" s="427" t="s">
        <v>600</v>
      </c>
      <c r="D205" s="440">
        <f t="shared" si="76"/>
        <v>2734.3779989561381</v>
      </c>
      <c r="E205" s="25"/>
      <c r="F205" s="446">
        <f>F64+F91</f>
        <v>0</v>
      </c>
      <c r="G205" s="446">
        <f t="shared" ref="G205:AC205" si="78">G64+G91</f>
        <v>0</v>
      </c>
      <c r="H205" s="446">
        <f t="shared" si="78"/>
        <v>105988.65481346476</v>
      </c>
      <c r="I205" s="446">
        <f t="shared" si="78"/>
        <v>108624.67262851889</v>
      </c>
      <c r="J205" s="446">
        <f t="shared" si="78"/>
        <v>111260.69044357302</v>
      </c>
      <c r="K205" s="446">
        <f t="shared" si="78"/>
        <v>113896.7082586272</v>
      </c>
      <c r="L205" s="446">
        <f t="shared" si="78"/>
        <v>116532.72607368132</v>
      </c>
      <c r="M205" s="446">
        <f t="shared" si="78"/>
        <v>119168.74388873551</v>
      </c>
      <c r="N205" s="446">
        <f t="shared" si="78"/>
        <v>121804.76170378964</v>
      </c>
      <c r="O205" s="446">
        <f t="shared" si="78"/>
        <v>122721.67516703051</v>
      </c>
      <c r="P205" s="446">
        <f t="shared" si="78"/>
        <v>123638.58863027141</v>
      </c>
      <c r="Q205" s="446">
        <f t="shared" si="78"/>
        <v>124555.50209351222</v>
      </c>
      <c r="R205" s="446">
        <f t="shared" si="78"/>
        <v>125472.4155567531</v>
      </c>
      <c r="S205" s="446">
        <f t="shared" si="78"/>
        <v>126389.32901999397</v>
      </c>
      <c r="T205" s="446">
        <f t="shared" si="78"/>
        <v>127306.24248323479</v>
      </c>
      <c r="U205" s="446">
        <f t="shared" si="78"/>
        <v>128223.15594647564</v>
      </c>
      <c r="V205" s="446">
        <f t="shared" si="78"/>
        <v>129140.06940971651</v>
      </c>
      <c r="W205" s="446">
        <f t="shared" si="78"/>
        <v>130056.98287295733</v>
      </c>
      <c r="X205" s="446">
        <f t="shared" si="78"/>
        <v>130973.89633619823</v>
      </c>
      <c r="Y205" s="446">
        <f t="shared" si="78"/>
        <v>131890.80979943907</v>
      </c>
      <c r="Z205" s="446">
        <f t="shared" si="78"/>
        <v>132807.72326267994</v>
      </c>
      <c r="AA205" s="446">
        <f t="shared" si="78"/>
        <v>133724.63672592081</v>
      </c>
      <c r="AB205" s="446">
        <f t="shared" si="78"/>
        <v>134641.55018916167</v>
      </c>
      <c r="AC205" s="446">
        <f t="shared" si="78"/>
        <v>135558.46365240254</v>
      </c>
      <c r="AD205" s="358"/>
      <c r="AE205"/>
      <c r="AF205"/>
      <c r="AG205"/>
      <c r="AH205"/>
      <c r="AI205"/>
      <c r="AJ205"/>
      <c r="AK205"/>
      <c r="AL205"/>
      <c r="AM205"/>
      <c r="AN205"/>
      <c r="AO205"/>
      <c r="AP205"/>
      <c r="AQ205"/>
      <c r="AR205"/>
      <c r="AS205"/>
      <c r="AT205"/>
      <c r="AU205"/>
      <c r="AV205"/>
      <c r="AW205"/>
      <c r="AX205"/>
      <c r="AY205"/>
      <c r="AZ205"/>
      <c r="BA205"/>
    </row>
    <row r="206" spans="1:53" s="76" customFormat="1" ht="15.75">
      <c r="A206" s="25"/>
      <c r="B206" s="25"/>
      <c r="C206" s="427" t="s">
        <v>202</v>
      </c>
      <c r="D206" s="440">
        <f t="shared" si="76"/>
        <v>112.9698761007389</v>
      </c>
      <c r="E206" s="25"/>
      <c r="F206" s="446">
        <f>F108</f>
        <v>0</v>
      </c>
      <c r="G206" s="446">
        <f t="shared" ref="G206:AC206" si="79">G108</f>
        <v>0</v>
      </c>
      <c r="H206" s="446">
        <f t="shared" si="79"/>
        <v>3381.2980702284012</v>
      </c>
      <c r="I206" s="446">
        <f t="shared" si="79"/>
        <v>3554.6701582680626</v>
      </c>
      <c r="J206" s="446">
        <f t="shared" si="79"/>
        <v>3733.0084776367089</v>
      </c>
      <c r="K206" s="446">
        <f t="shared" si="79"/>
        <v>3916.3647940385081</v>
      </c>
      <c r="L206" s="446">
        <f t="shared" si="79"/>
        <v>4104.7915951285204</v>
      </c>
      <c r="M206" s="446">
        <f t="shared" si="79"/>
        <v>4298.3421031425478</v>
      </c>
      <c r="N206" s="446">
        <f t="shared" si="79"/>
        <v>4497.0702877931099</v>
      </c>
      <c r="O206" s="446">
        <f t="shared" si="79"/>
        <v>4636.0878384662883</v>
      </c>
      <c r="P206" s="446">
        <f t="shared" si="79"/>
        <v>4777.4261342216687</v>
      </c>
      <c r="Q206" s="446">
        <f t="shared" si="79"/>
        <v>4921.1098804709172</v>
      </c>
      <c r="R206" s="446">
        <f t="shared" si="79"/>
        <v>5067.1641345419739</v>
      </c>
      <c r="S206" s="446">
        <f t="shared" si="79"/>
        <v>5215.6143119674871</v>
      </c>
      <c r="T206" s="446">
        <f t="shared" si="79"/>
        <v>5366.4861929086692</v>
      </c>
      <c r="U206" s="446">
        <f t="shared" si="79"/>
        <v>5519.8059287178185</v>
      </c>
      <c r="V206" s="446">
        <f t="shared" si="79"/>
        <v>5675.6000486431021</v>
      </c>
      <c r="W206" s="446">
        <f t="shared" si="79"/>
        <v>5833.8954666792415</v>
      </c>
      <c r="X206" s="446">
        <f t="shared" si="79"/>
        <v>5994.7194885677318</v>
      </c>
      <c r="Y206" s="446">
        <f t="shared" si="79"/>
        <v>6158.0998189504307</v>
      </c>
      <c r="Z206" s="446">
        <f t="shared" si="79"/>
        <v>6324.0645686805638</v>
      </c>
      <c r="AA206" s="446">
        <f t="shared" si="79"/>
        <v>6492.6422622949985</v>
      </c>
      <c r="AB206" s="446">
        <f t="shared" si="79"/>
        <v>6663.861845652209</v>
      </c>
      <c r="AC206" s="446">
        <f t="shared" si="79"/>
        <v>6837.7526937399234</v>
      </c>
      <c r="AD206" s="358"/>
      <c r="AE206"/>
      <c r="AF206"/>
      <c r="AG206"/>
      <c r="AH206"/>
      <c r="AI206"/>
      <c r="AJ206"/>
      <c r="AK206"/>
      <c r="AL206"/>
      <c r="AM206"/>
      <c r="AN206"/>
      <c r="AO206"/>
      <c r="AP206"/>
      <c r="AQ206"/>
      <c r="AR206"/>
      <c r="AS206"/>
      <c r="AT206"/>
      <c r="AU206"/>
      <c r="AV206"/>
      <c r="AW206"/>
      <c r="AX206"/>
      <c r="AY206"/>
      <c r="AZ206"/>
      <c r="BA206"/>
    </row>
    <row r="207" spans="1:53" ht="15.75">
      <c r="C207" s="427" t="s">
        <v>203</v>
      </c>
      <c r="D207" s="440">
        <f t="shared" si="76"/>
        <v>575.12928103615252</v>
      </c>
      <c r="F207" s="446">
        <f>F121-F119</f>
        <v>0</v>
      </c>
      <c r="G207" s="446">
        <f t="shared" ref="G207:AC207" si="80">G121-G119</f>
        <v>0</v>
      </c>
      <c r="H207" s="446">
        <f t="shared" si="80"/>
        <v>22292.886668971012</v>
      </c>
      <c r="I207" s="446">
        <f t="shared" si="80"/>
        <v>22847.327580706464</v>
      </c>
      <c r="J207" s="446">
        <f t="shared" si="80"/>
        <v>23401.768492441908</v>
      </c>
      <c r="K207" s="446">
        <f t="shared" si="80"/>
        <v>23956.209404177353</v>
      </c>
      <c r="L207" s="446">
        <f t="shared" si="80"/>
        <v>24510.65031591279</v>
      </c>
      <c r="M207" s="446">
        <f t="shared" si="80"/>
        <v>25065.091227648245</v>
      </c>
      <c r="N207" s="446">
        <f t="shared" si="80"/>
        <v>25619.532139383693</v>
      </c>
      <c r="O207" s="446">
        <f t="shared" si="80"/>
        <v>25812.389082018322</v>
      </c>
      <c r="P207" s="446">
        <f t="shared" si="80"/>
        <v>26005.246024652955</v>
      </c>
      <c r="Q207" s="446">
        <f t="shared" si="80"/>
        <v>26198.102967287581</v>
      </c>
      <c r="R207" s="446">
        <f t="shared" si="80"/>
        <v>26390.959909922214</v>
      </c>
      <c r="S207" s="446">
        <f t="shared" si="80"/>
        <v>26583.816852556851</v>
      </c>
      <c r="T207" s="446">
        <f t="shared" si="80"/>
        <v>26776.67379519148</v>
      </c>
      <c r="U207" s="446">
        <f t="shared" si="80"/>
        <v>26969.53073782611</v>
      </c>
      <c r="V207" s="446">
        <f t="shared" si="80"/>
        <v>27162.387680460743</v>
      </c>
      <c r="W207" s="446">
        <f t="shared" si="80"/>
        <v>27355.244623095368</v>
      </c>
      <c r="X207" s="446">
        <f t="shared" si="80"/>
        <v>27548.101565730001</v>
      </c>
      <c r="Y207" s="446">
        <f t="shared" si="80"/>
        <v>27740.958508364638</v>
      </c>
      <c r="Z207" s="446">
        <f t="shared" si="80"/>
        <v>27933.81545099926</v>
      </c>
      <c r="AA207" s="446">
        <f t="shared" si="80"/>
        <v>28126.6723936339</v>
      </c>
      <c r="AB207" s="446">
        <f t="shared" si="80"/>
        <v>28319.529336268533</v>
      </c>
      <c r="AC207" s="446">
        <f t="shared" si="80"/>
        <v>28512.38627890317</v>
      </c>
    </row>
    <row r="208" spans="1:53" s="76" customFormat="1" ht="15.75">
      <c r="A208" s="25"/>
      <c r="B208" s="25"/>
      <c r="C208" s="427" t="s">
        <v>204</v>
      </c>
      <c r="D208" s="440">
        <f t="shared" si="76"/>
        <v>640.71775718100901</v>
      </c>
      <c r="E208" s="25"/>
      <c r="F208" s="446">
        <f>F139+F124</f>
        <v>0</v>
      </c>
      <c r="G208" s="446">
        <f t="shared" ref="G208:AC208" si="81">G139+G124</f>
        <v>0</v>
      </c>
      <c r="H208" s="446">
        <f t="shared" si="81"/>
        <v>32767.433541337927</v>
      </c>
      <c r="I208" s="446">
        <f t="shared" si="81"/>
        <v>32233.100007709301</v>
      </c>
      <c r="J208" s="446">
        <f t="shared" si="81"/>
        <v>31773.552909095801</v>
      </c>
      <c r="K208" s="446">
        <f t="shared" si="81"/>
        <v>31182.822004668982</v>
      </c>
      <c r="L208" s="446">
        <f t="shared" si="81"/>
        <v>30504.486396856621</v>
      </c>
      <c r="M208" s="446">
        <f t="shared" si="81"/>
        <v>29780.347479618409</v>
      </c>
      <c r="N208" s="446">
        <f t="shared" si="81"/>
        <v>29010.487644698507</v>
      </c>
      <c r="O208" s="446">
        <f t="shared" si="81"/>
        <v>28185.713745963785</v>
      </c>
      <c r="P208" s="446">
        <f t="shared" si="81"/>
        <v>28184.870331954437</v>
      </c>
      <c r="Q208" s="446">
        <f t="shared" si="81"/>
        <v>28180.913426632455</v>
      </c>
      <c r="R208" s="446">
        <f t="shared" si="81"/>
        <v>28173.843044079891</v>
      </c>
      <c r="S208" s="446">
        <f t="shared" si="81"/>
        <v>28163.659194697189</v>
      </c>
      <c r="T208" s="446">
        <f t="shared" si="81"/>
        <v>28150.361885162696</v>
      </c>
      <c r="U208" s="446">
        <f t="shared" si="81"/>
        <v>28133.951118391546</v>
      </c>
      <c r="V208" s="446">
        <f t="shared" si="81"/>
        <v>28114.426893494041</v>
      </c>
      <c r="W208" s="446">
        <f t="shared" si="81"/>
        <v>28091.789205733468</v>
      </c>
      <c r="X208" s="446">
        <f t="shared" si="81"/>
        <v>28066.038046483427</v>
      </c>
      <c r="Y208" s="446">
        <f t="shared" si="81"/>
        <v>28037.17340318457</v>
      </c>
      <c r="Z208" s="446">
        <f t="shared" si="81"/>
        <v>28220.719592889323</v>
      </c>
      <c r="AA208" s="446">
        <f t="shared" si="81"/>
        <v>28404.128767835202</v>
      </c>
      <c r="AB208" s="446">
        <f t="shared" si="81"/>
        <v>28587.401235770074</v>
      </c>
      <c r="AC208" s="446">
        <f t="shared" si="81"/>
        <v>28770.53730475148</v>
      </c>
      <c r="AD208" s="358"/>
      <c r="AE208"/>
      <c r="AF208"/>
      <c r="AG208"/>
      <c r="AH208"/>
      <c r="AI208"/>
      <c r="AJ208"/>
      <c r="AK208"/>
      <c r="AL208"/>
      <c r="AM208"/>
      <c r="AN208"/>
      <c r="AO208"/>
      <c r="AP208"/>
      <c r="AQ208"/>
      <c r="AR208"/>
      <c r="AS208"/>
      <c r="AT208"/>
      <c r="AU208"/>
      <c r="AV208"/>
      <c r="AW208"/>
      <c r="AX208"/>
      <c r="AY208"/>
      <c r="AZ208"/>
      <c r="BA208"/>
    </row>
    <row r="209" spans="1:53" s="76" customFormat="1" ht="15.75">
      <c r="A209" s="36"/>
      <c r="B209" s="36"/>
      <c r="C209" s="427" t="s">
        <v>601</v>
      </c>
      <c r="D209" s="440">
        <f t="shared" si="76"/>
        <v>0.44809256718573559</v>
      </c>
      <c r="E209" s="25"/>
      <c r="F209" s="446">
        <f>F144</f>
        <v>0</v>
      </c>
      <c r="G209" s="446">
        <f t="shared" ref="G209:AC209" si="82">G144</f>
        <v>0</v>
      </c>
      <c r="H209" s="446">
        <f t="shared" si="82"/>
        <v>17.3687502042727</v>
      </c>
      <c r="I209" s="446">
        <f t="shared" si="82"/>
        <v>17.800724126804944</v>
      </c>
      <c r="J209" s="446">
        <f t="shared" si="82"/>
        <v>18.232698049337188</v>
      </c>
      <c r="K209" s="446">
        <f t="shared" si="82"/>
        <v>18.664671971869435</v>
      </c>
      <c r="L209" s="446">
        <f t="shared" si="82"/>
        <v>19.096645894401668</v>
      </c>
      <c r="M209" s="446">
        <f t="shared" si="82"/>
        <v>19.528619816933915</v>
      </c>
      <c r="N209" s="446">
        <f t="shared" si="82"/>
        <v>19.960593739466162</v>
      </c>
      <c r="O209" s="446">
        <f t="shared" si="82"/>
        <v>20.110851716888302</v>
      </c>
      <c r="P209" s="446">
        <f t="shared" si="82"/>
        <v>20.261109694310452</v>
      </c>
      <c r="Q209" s="446">
        <f t="shared" si="82"/>
        <v>20.411367671732595</v>
      </c>
      <c r="R209" s="446">
        <f t="shared" si="82"/>
        <v>20.561625649154738</v>
      </c>
      <c r="S209" s="446">
        <f t="shared" si="82"/>
        <v>20.711883626576885</v>
      </c>
      <c r="T209" s="446">
        <f t="shared" si="82"/>
        <v>20.862141603999028</v>
      </c>
      <c r="U209" s="446">
        <f t="shared" si="82"/>
        <v>21.012399581421171</v>
      </c>
      <c r="V209" s="446">
        <f t="shared" si="82"/>
        <v>21.162657558843318</v>
      </c>
      <c r="W209" s="446">
        <f t="shared" si="82"/>
        <v>21.312915536265457</v>
      </c>
      <c r="X209" s="446">
        <f t="shared" si="82"/>
        <v>21.463173513687604</v>
      </c>
      <c r="Y209" s="446">
        <f t="shared" si="82"/>
        <v>21.61343149110975</v>
      </c>
      <c r="Z209" s="446">
        <f t="shared" si="82"/>
        <v>21.76368946853189</v>
      </c>
      <c r="AA209" s="446">
        <f t="shared" si="82"/>
        <v>21.913947445954037</v>
      </c>
      <c r="AB209" s="446">
        <f t="shared" si="82"/>
        <v>22.064205423376183</v>
      </c>
      <c r="AC209" s="446">
        <f t="shared" si="82"/>
        <v>22.214463400798326</v>
      </c>
      <c r="AD209" s="358"/>
      <c r="AE209"/>
      <c r="AF209"/>
      <c r="AG209"/>
      <c r="AH209"/>
      <c r="AI209"/>
      <c r="AJ209"/>
      <c r="AK209"/>
      <c r="AL209"/>
      <c r="AM209"/>
      <c r="AN209"/>
      <c r="AO209"/>
      <c r="AP209"/>
      <c r="AQ209"/>
      <c r="AR209"/>
      <c r="AS209"/>
      <c r="AT209"/>
      <c r="AU209"/>
      <c r="AV209"/>
      <c r="AW209"/>
      <c r="AX209"/>
      <c r="AY209"/>
      <c r="AZ209"/>
      <c r="BA209"/>
    </row>
    <row r="210" spans="1:53" s="76" customFormat="1" ht="15.75">
      <c r="A210" s="25"/>
      <c r="B210" s="25"/>
      <c r="C210" s="427" t="s">
        <v>205</v>
      </c>
      <c r="D210" s="440">
        <f t="shared" si="76"/>
        <v>1411.1614917854797</v>
      </c>
      <c r="E210" s="25"/>
      <c r="F210" s="446">
        <f>F157+F159+F170+F172+F176+F178+F180</f>
        <v>0</v>
      </c>
      <c r="G210" s="446">
        <f t="shared" ref="G210:AC210" si="83">G157+G159+G170+G172+G176+G178+G180</f>
        <v>0</v>
      </c>
      <c r="H210" s="446">
        <f t="shared" si="83"/>
        <v>54698.768164461224</v>
      </c>
      <c r="I210" s="446">
        <f t="shared" si="83"/>
        <v>56059.167799656127</v>
      </c>
      <c r="J210" s="446">
        <f t="shared" si="83"/>
        <v>57419.567434851029</v>
      </c>
      <c r="K210" s="446">
        <f t="shared" si="83"/>
        <v>58779.967070045954</v>
      </c>
      <c r="L210" s="446">
        <f t="shared" si="83"/>
        <v>60140.366705240842</v>
      </c>
      <c r="M210" s="446">
        <f t="shared" si="83"/>
        <v>61500.766340435774</v>
      </c>
      <c r="N210" s="446">
        <f t="shared" si="83"/>
        <v>62861.165975630684</v>
      </c>
      <c r="O210" s="446">
        <f t="shared" si="83"/>
        <v>63334.367914469825</v>
      </c>
      <c r="P210" s="446">
        <f t="shared" si="83"/>
        <v>63807.569853308996</v>
      </c>
      <c r="Q210" s="446">
        <f t="shared" si="83"/>
        <v>64280.771792148116</v>
      </c>
      <c r="R210" s="446">
        <f t="shared" si="83"/>
        <v>64753.97373098728</v>
      </c>
      <c r="S210" s="446">
        <f t="shared" si="83"/>
        <v>65227.175669826429</v>
      </c>
      <c r="T210" s="446">
        <f t="shared" si="83"/>
        <v>65700.377608665585</v>
      </c>
      <c r="U210" s="446">
        <f t="shared" si="83"/>
        <v>66173.57954750472</v>
      </c>
      <c r="V210" s="446">
        <f t="shared" si="83"/>
        <v>66646.781486343869</v>
      </c>
      <c r="W210" s="446">
        <f t="shared" si="83"/>
        <v>67119.983425183018</v>
      </c>
      <c r="X210" s="446">
        <f t="shared" si="83"/>
        <v>67593.185364022182</v>
      </c>
      <c r="Y210" s="446">
        <f t="shared" si="83"/>
        <v>68066.387302861316</v>
      </c>
      <c r="Z210" s="446">
        <f t="shared" si="83"/>
        <v>68539.589241700465</v>
      </c>
      <c r="AA210" s="446">
        <f t="shared" si="83"/>
        <v>69012.791180539629</v>
      </c>
      <c r="AB210" s="446">
        <f t="shared" si="83"/>
        <v>69485.993119378778</v>
      </c>
      <c r="AC210" s="446">
        <f t="shared" si="83"/>
        <v>69959.195058217927</v>
      </c>
      <c r="AD210" s="358"/>
      <c r="AE210"/>
      <c r="AF210"/>
      <c r="AG210"/>
      <c r="AH210"/>
      <c r="AI210"/>
      <c r="AJ210"/>
      <c r="AK210"/>
      <c r="AL210"/>
      <c r="AM210"/>
      <c r="AN210"/>
      <c r="AO210"/>
      <c r="AP210"/>
      <c r="AQ210"/>
      <c r="AR210"/>
      <c r="AS210"/>
      <c r="AT210"/>
      <c r="AU210"/>
      <c r="AV210"/>
      <c r="AW210"/>
      <c r="AX210"/>
      <c r="AY210"/>
      <c r="AZ210"/>
      <c r="BA210"/>
    </row>
    <row r="211" spans="1:53" s="76" customFormat="1" ht="15.75">
      <c r="A211" s="25"/>
      <c r="B211" s="25"/>
      <c r="C211" s="426"/>
      <c r="D211" s="441"/>
      <c r="E211" s="25"/>
      <c r="F211" s="437">
        <f>SUM(F204:F210)</f>
        <v>0</v>
      </c>
      <c r="G211" s="437">
        <f t="shared" ref="G211:AC211" si="84">SUM(G204:G210)</f>
        <v>0</v>
      </c>
      <c r="H211" s="437">
        <f t="shared" si="84"/>
        <v>241028.84614008249</v>
      </c>
      <c r="I211" s="437">
        <f t="shared" si="84"/>
        <v>246031.2376889734</v>
      </c>
      <c r="J211" s="437">
        <f t="shared" si="84"/>
        <v>251128.28059819533</v>
      </c>
      <c r="K211" s="437">
        <f t="shared" si="84"/>
        <v>256114.21168973658</v>
      </c>
      <c r="L211" s="437">
        <f t="shared" si="84"/>
        <v>261032.82001664513</v>
      </c>
      <c r="M211" s="437">
        <f t="shared" si="84"/>
        <v>265926.11986182397</v>
      </c>
      <c r="N211" s="437">
        <f t="shared" si="84"/>
        <v>270794.40949586715</v>
      </c>
      <c r="O211" s="437">
        <f t="shared" si="84"/>
        <v>272210.37915004656</v>
      </c>
      <c r="P211" s="437">
        <f t="shared" si="84"/>
        <v>274459.56226928014</v>
      </c>
      <c r="Q211" s="437">
        <f t="shared" si="84"/>
        <v>276715.01369917649</v>
      </c>
      <c r="R211" s="437">
        <f t="shared" si="84"/>
        <v>278976.83368312952</v>
      </c>
      <c r="S211" s="437">
        <f t="shared" si="84"/>
        <v>281245.12389367033</v>
      </c>
      <c r="T211" s="437">
        <f t="shared" si="84"/>
        <v>283519.98745812185</v>
      </c>
      <c r="U211" s="437">
        <f t="shared" si="84"/>
        <v>285801.52898480871</v>
      </c>
      <c r="V211" s="437">
        <f t="shared" si="84"/>
        <v>288089.85458983365</v>
      </c>
      <c r="W211" s="437">
        <f t="shared" si="84"/>
        <v>290385.07192443905</v>
      </c>
      <c r="X211" s="437">
        <f t="shared" si="84"/>
        <v>292687.29020296433</v>
      </c>
      <c r="Y211" s="437">
        <f t="shared" si="84"/>
        <v>294996.62023141771</v>
      </c>
      <c r="Z211" s="437">
        <f t="shared" si="84"/>
        <v>297528.69877026434</v>
      </c>
      <c r="AA211" s="437">
        <f t="shared" si="84"/>
        <v>300071.09206988942</v>
      </c>
      <c r="AB211" s="437">
        <f t="shared" si="84"/>
        <v>302623.91622147447</v>
      </c>
      <c r="AC211" s="437">
        <f t="shared" si="84"/>
        <v>305187.28903302812</v>
      </c>
      <c r="AD211" s="358"/>
      <c r="AE211"/>
      <c r="AF211"/>
      <c r="AG211"/>
      <c r="AH211"/>
      <c r="AI211"/>
      <c r="AJ211"/>
      <c r="AK211"/>
      <c r="AL211"/>
      <c r="AM211"/>
      <c r="AN211"/>
      <c r="AO211"/>
      <c r="AP211"/>
      <c r="AQ211"/>
      <c r="AR211"/>
      <c r="AS211"/>
      <c r="AT211"/>
      <c r="AU211"/>
      <c r="AV211"/>
      <c r="AW211"/>
      <c r="AX211"/>
      <c r="AY211"/>
      <c r="AZ211"/>
      <c r="BA211"/>
    </row>
    <row r="212" spans="1:53" s="76" customFormat="1" ht="15.75">
      <c r="A212" s="25"/>
      <c r="B212" s="25"/>
      <c r="C212" s="425" t="s">
        <v>184</v>
      </c>
      <c r="D212" s="442"/>
      <c r="E212" s="25"/>
      <c r="F212" s="25"/>
      <c r="G212" s="25"/>
      <c r="H212" s="25"/>
      <c r="I212" s="25"/>
      <c r="J212" s="25"/>
      <c r="K212" s="25"/>
      <c r="L212" s="25"/>
      <c r="M212" s="25"/>
      <c r="N212" s="25"/>
      <c r="O212" s="25"/>
      <c r="P212" s="25"/>
      <c r="Q212" s="25"/>
      <c r="R212" s="25"/>
      <c r="S212" s="25"/>
      <c r="T212" s="25"/>
      <c r="U212" s="25"/>
      <c r="V212" s="25"/>
      <c r="W212" s="25"/>
      <c r="X212" s="25"/>
      <c r="Y212" s="25"/>
      <c r="Z212" s="25"/>
      <c r="AA212" s="25"/>
      <c r="AB212" s="25"/>
      <c r="AC212" s="25"/>
      <c r="AD212" s="358"/>
      <c r="AE212"/>
      <c r="AF212"/>
      <c r="AG212"/>
      <c r="AH212"/>
      <c r="AI212"/>
      <c r="AJ212"/>
      <c r="AK212"/>
      <c r="AL212"/>
      <c r="AM212"/>
      <c r="AN212"/>
      <c r="AO212"/>
      <c r="AP212"/>
      <c r="AQ212"/>
      <c r="AR212"/>
      <c r="AS212"/>
      <c r="AT212"/>
      <c r="AU212"/>
      <c r="AV212"/>
      <c r="AW212"/>
      <c r="AX212"/>
      <c r="AY212"/>
      <c r="AZ212"/>
      <c r="BA212"/>
    </row>
    <row r="213" spans="1:53" s="76" customFormat="1" ht="15.75">
      <c r="A213" s="25"/>
      <c r="B213" s="25"/>
      <c r="C213" s="425" t="s">
        <v>185</v>
      </c>
      <c r="D213" s="443">
        <f>IRR(F213:AC213)</f>
        <v>0.39067735464108672</v>
      </c>
      <c r="E213" s="25"/>
      <c r="F213" s="439">
        <f>F202+F211</f>
        <v>0</v>
      </c>
      <c r="G213" s="439">
        <f t="shared" ref="G213:AC213" si="85">G202+G211</f>
        <v>-537107.87439426535</v>
      </c>
      <c r="H213" s="439">
        <f t="shared" si="85"/>
        <v>200626.177201849</v>
      </c>
      <c r="I213" s="439">
        <f t="shared" si="85"/>
        <v>204623.7238898974</v>
      </c>
      <c r="J213" s="439">
        <f t="shared" si="85"/>
        <v>208715.92193827685</v>
      </c>
      <c r="K213" s="439">
        <f t="shared" si="85"/>
        <v>212697.00816897559</v>
      </c>
      <c r="L213" s="439">
        <f t="shared" si="85"/>
        <v>216610.77163504169</v>
      </c>
      <c r="M213" s="439">
        <f t="shared" si="85"/>
        <v>220499.22661937802</v>
      </c>
      <c r="N213" s="439">
        <f t="shared" si="85"/>
        <v>224362.67139257872</v>
      </c>
      <c r="O213" s="439">
        <f t="shared" si="85"/>
        <v>225429.115419081</v>
      </c>
      <c r="P213" s="439">
        <f t="shared" si="85"/>
        <v>227328.77291063746</v>
      </c>
      <c r="Q213" s="439">
        <f t="shared" si="85"/>
        <v>229234.69871285671</v>
      </c>
      <c r="R213" s="439">
        <f t="shared" si="85"/>
        <v>231146.99306913259</v>
      </c>
      <c r="S213" s="439">
        <f t="shared" si="85"/>
        <v>233065.7576519963</v>
      </c>
      <c r="T213" s="439">
        <f t="shared" si="85"/>
        <v>234991.0955887707</v>
      </c>
      <c r="U213" s="439">
        <f t="shared" si="85"/>
        <v>236923.11148778046</v>
      </c>
      <c r="V213" s="439">
        <f t="shared" si="85"/>
        <v>238861.91146512827</v>
      </c>
      <c r="W213" s="439">
        <f t="shared" si="85"/>
        <v>240807.60317205655</v>
      </c>
      <c r="X213" s="439">
        <f t="shared" si="85"/>
        <v>242760.29582290474</v>
      </c>
      <c r="Y213" s="439">
        <f t="shared" si="85"/>
        <v>244720.10022368099</v>
      </c>
      <c r="Z213" s="439">
        <f t="shared" si="85"/>
        <v>246902.65313485049</v>
      </c>
      <c r="AA213" s="439">
        <f t="shared" si="85"/>
        <v>249095.52080679848</v>
      </c>
      <c r="AB213" s="439">
        <f t="shared" si="85"/>
        <v>251298.81933070641</v>
      </c>
      <c r="AC213" s="439">
        <f t="shared" si="85"/>
        <v>253512.66651458293</v>
      </c>
      <c r="AD213" s="358"/>
      <c r="AE213"/>
      <c r="AF213"/>
      <c r="AG213"/>
      <c r="AH213"/>
      <c r="AI213"/>
      <c r="AJ213"/>
      <c r="AK213"/>
      <c r="AL213"/>
      <c r="AM213"/>
      <c r="AN213"/>
      <c r="AO213"/>
      <c r="AP213"/>
      <c r="AQ213"/>
      <c r="AR213"/>
      <c r="AS213"/>
      <c r="AT213"/>
      <c r="AU213"/>
      <c r="AV213"/>
      <c r="AW213"/>
      <c r="AX213"/>
      <c r="AY213"/>
      <c r="AZ213"/>
      <c r="BA213"/>
    </row>
    <row r="214" spans="1:53" s="76" customFormat="1" ht="15.75">
      <c r="A214" s="25"/>
      <c r="B214" s="25"/>
      <c r="C214" s="425" t="s">
        <v>186</v>
      </c>
      <c r="D214" s="444">
        <f>SUM(D204:D210)/SUM(D198:D201)</f>
        <v>3.8725911416116423</v>
      </c>
      <c r="E214" s="25"/>
      <c r="F214" s="431">
        <f t="shared" ref="F214:AC214" si="86">F213-F186</f>
        <v>0</v>
      </c>
      <c r="G214" s="431">
        <f t="shared" si="86"/>
        <v>0</v>
      </c>
      <c r="H214" s="431">
        <f t="shared" si="86"/>
        <v>0</v>
      </c>
      <c r="I214" s="431">
        <f t="shared" si="86"/>
        <v>0</v>
      </c>
      <c r="J214" s="431">
        <f t="shared" si="86"/>
        <v>0</v>
      </c>
      <c r="K214" s="431">
        <f t="shared" si="86"/>
        <v>0</v>
      </c>
      <c r="L214" s="431">
        <f t="shared" si="86"/>
        <v>0</v>
      </c>
      <c r="M214" s="431">
        <f t="shared" si="86"/>
        <v>0</v>
      </c>
      <c r="N214" s="431">
        <f t="shared" si="86"/>
        <v>0</v>
      </c>
      <c r="O214" s="431">
        <f t="shared" si="86"/>
        <v>0</v>
      </c>
      <c r="P214" s="431">
        <f t="shared" si="86"/>
        <v>0</v>
      </c>
      <c r="Q214" s="431">
        <f t="shared" si="86"/>
        <v>0</v>
      </c>
      <c r="R214" s="431">
        <f t="shared" si="86"/>
        <v>0</v>
      </c>
      <c r="S214" s="431">
        <f t="shared" si="86"/>
        <v>0</v>
      </c>
      <c r="T214" s="431">
        <f t="shared" si="86"/>
        <v>0</v>
      </c>
      <c r="U214" s="431">
        <f t="shared" si="86"/>
        <v>0</v>
      </c>
      <c r="V214" s="431">
        <f t="shared" si="86"/>
        <v>0</v>
      </c>
      <c r="W214" s="431">
        <f t="shared" si="86"/>
        <v>0</v>
      </c>
      <c r="X214" s="431">
        <f t="shared" si="86"/>
        <v>0</v>
      </c>
      <c r="Y214" s="431">
        <f t="shared" si="86"/>
        <v>0</v>
      </c>
      <c r="Z214" s="431">
        <f t="shared" si="86"/>
        <v>0</v>
      </c>
      <c r="AA214" s="431">
        <f t="shared" si="86"/>
        <v>0</v>
      </c>
      <c r="AB214" s="431">
        <f t="shared" si="86"/>
        <v>0</v>
      </c>
      <c r="AC214" s="431">
        <f t="shared" si="86"/>
        <v>0</v>
      </c>
      <c r="AD214" s="358"/>
      <c r="AE214"/>
      <c r="AF214"/>
      <c r="AG214"/>
      <c r="AH214"/>
      <c r="AI214"/>
      <c r="AJ214"/>
      <c r="AK214"/>
      <c r="AL214"/>
      <c r="AM214"/>
      <c r="AN214"/>
      <c r="AO214"/>
      <c r="AP214"/>
      <c r="AQ214"/>
      <c r="AR214"/>
      <c r="AS214"/>
      <c r="AT214"/>
      <c r="AU214"/>
      <c r="AV214"/>
      <c r="AW214"/>
      <c r="AX214"/>
      <c r="AY214"/>
      <c r="AZ214"/>
      <c r="BA214"/>
    </row>
    <row r="215" spans="1:53" s="76" customFormat="1">
      <c r="A215" s="25"/>
      <c r="B215" s="25"/>
      <c r="C215" s="50"/>
      <c r="D215" s="40"/>
      <c r="E215" s="25"/>
      <c r="F215" s="39"/>
      <c r="H215"/>
      <c r="I215"/>
      <c r="J215"/>
      <c r="K215"/>
      <c r="L215"/>
      <c r="M215"/>
      <c r="N215"/>
      <c r="O215"/>
      <c r="P215"/>
      <c r="Q215"/>
      <c r="R215"/>
      <c r="S215"/>
      <c r="T215"/>
      <c r="U215"/>
      <c r="V215"/>
      <c r="W215"/>
      <c r="X215"/>
      <c r="Y215"/>
      <c r="Z215"/>
      <c r="AA215"/>
      <c r="AB215"/>
      <c r="AC215"/>
      <c r="AD215" s="358"/>
      <c r="AE215"/>
      <c r="AF215"/>
      <c r="AG215"/>
      <c r="AH215"/>
      <c r="AI215"/>
      <c r="AJ215"/>
      <c r="AK215"/>
      <c r="AL215"/>
      <c r="AM215"/>
      <c r="AN215"/>
      <c r="AO215"/>
      <c r="AP215"/>
      <c r="AQ215"/>
      <c r="AR215"/>
      <c r="AS215"/>
      <c r="AT215"/>
      <c r="AU215"/>
      <c r="AV215"/>
      <c r="AW215"/>
      <c r="AX215"/>
      <c r="AY215"/>
      <c r="AZ215"/>
      <c r="BA215"/>
    </row>
    <row r="216" spans="1:53" s="76" customFormat="1">
      <c r="A216" s="25"/>
      <c r="B216" s="25"/>
      <c r="C216" s="50"/>
      <c r="D216" s="25"/>
      <c r="E216" s="25"/>
      <c r="F216" s="39"/>
      <c r="H216"/>
      <c r="I216"/>
      <c r="J216"/>
      <c r="K216"/>
      <c r="L216"/>
      <c r="M216"/>
      <c r="N216"/>
      <c r="O216"/>
      <c r="P216"/>
      <c r="Q216"/>
      <c r="R216"/>
      <c r="S216"/>
      <c r="T216"/>
      <c r="U216"/>
      <c r="V216"/>
      <c r="W216"/>
      <c r="X216"/>
      <c r="Y216"/>
      <c r="Z216"/>
      <c r="AA216"/>
      <c r="AB216"/>
      <c r="AC216"/>
      <c r="AD216" s="358"/>
      <c r="AE216"/>
      <c r="AF216"/>
      <c r="AG216"/>
      <c r="AH216"/>
      <c r="AI216"/>
      <c r="AJ216"/>
      <c r="AK216"/>
      <c r="AL216"/>
      <c r="AM216"/>
      <c r="AN216"/>
      <c r="AO216"/>
      <c r="AP216"/>
      <c r="AQ216"/>
      <c r="AR216"/>
      <c r="AS216"/>
      <c r="AT216"/>
      <c r="AU216"/>
      <c r="AV216"/>
      <c r="AW216"/>
      <c r="AX216"/>
      <c r="AY216"/>
      <c r="AZ216"/>
      <c r="BA216"/>
    </row>
    <row r="217" spans="1:53" s="76" customFormat="1" ht="14.25">
      <c r="A217" s="25"/>
      <c r="B217" s="25"/>
      <c r="C217" s="436" t="s">
        <v>602</v>
      </c>
      <c r="D217" s="39"/>
      <c r="E217" s="39"/>
      <c r="F217" s="39"/>
      <c r="H217"/>
      <c r="I217"/>
      <c r="J217"/>
      <c r="K217"/>
      <c r="L217"/>
      <c r="M217"/>
      <c r="N217"/>
      <c r="O217"/>
      <c r="P217"/>
      <c r="Q217"/>
      <c r="R217"/>
      <c r="S217"/>
      <c r="T217"/>
      <c r="U217"/>
      <c r="V217"/>
      <c r="W217"/>
      <c r="X217"/>
      <c r="Y217"/>
      <c r="Z217"/>
      <c r="AA217"/>
      <c r="AB217"/>
      <c r="AC217"/>
      <c r="AD217" s="358"/>
      <c r="AE217"/>
      <c r="AF217"/>
      <c r="AG217"/>
      <c r="AH217"/>
      <c r="AI217"/>
      <c r="AJ217"/>
      <c r="AK217"/>
      <c r="AL217"/>
      <c r="AM217"/>
      <c r="AN217"/>
      <c r="AO217"/>
      <c r="AP217"/>
      <c r="AQ217"/>
      <c r="AR217"/>
      <c r="AS217"/>
      <c r="AT217"/>
      <c r="AU217"/>
      <c r="AV217"/>
      <c r="AW217"/>
      <c r="AX217"/>
      <c r="AY217"/>
      <c r="AZ217"/>
      <c r="BA217"/>
    </row>
    <row r="218" spans="1:53" s="76" customFormat="1" ht="15.75">
      <c r="A218" s="25"/>
      <c r="B218" s="25"/>
      <c r="C218" s="425" t="s">
        <v>1</v>
      </c>
      <c r="D218" s="442">
        <f>SUM(D219:D222)</f>
        <v>1209.2010846633218</v>
      </c>
      <c r="E218" s="39"/>
      <c r="F218" s="446"/>
      <c r="G218" s="446"/>
      <c r="H218" s="446"/>
      <c r="I218" s="446"/>
      <c r="J218" s="446"/>
      <c r="K218" s="446"/>
      <c r="L218" s="446"/>
      <c r="M218" s="446"/>
      <c r="N218" s="446"/>
      <c r="O218" s="446"/>
      <c r="P218" s="446"/>
      <c r="Q218" s="446"/>
      <c r="R218" s="446"/>
      <c r="S218" s="446"/>
      <c r="T218" s="446"/>
      <c r="U218" s="446"/>
      <c r="V218" s="446"/>
      <c r="W218" s="446"/>
      <c r="X218" s="446"/>
      <c r="Y218" s="446"/>
      <c r="Z218" s="446"/>
      <c r="AA218" s="446"/>
      <c r="AB218" s="446"/>
      <c r="AC218" s="446"/>
      <c r="AD218" s="358"/>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27" t="s">
        <v>199</v>
      </c>
      <c r="D219" s="440">
        <f>-SUM(F219:AC219)/1000</f>
        <v>472.79666321048165</v>
      </c>
      <c r="E219" s="39"/>
      <c r="F219" s="446">
        <f t="shared" ref="F219:AC219" si="87">F198*F$187</f>
        <v>0</v>
      </c>
      <c r="G219" s="446">
        <f t="shared" si="87"/>
        <v>-472796.66321048164</v>
      </c>
      <c r="H219" s="446">
        <f t="shared" si="87"/>
        <v>0</v>
      </c>
      <c r="I219" s="446">
        <f t="shared" si="87"/>
        <v>0</v>
      </c>
      <c r="J219" s="446">
        <f t="shared" si="87"/>
        <v>0</v>
      </c>
      <c r="K219" s="446">
        <f t="shared" si="87"/>
        <v>0</v>
      </c>
      <c r="L219" s="446">
        <f t="shared" si="87"/>
        <v>0</v>
      </c>
      <c r="M219" s="446">
        <f t="shared" si="87"/>
        <v>0</v>
      </c>
      <c r="N219" s="446">
        <f t="shared" si="87"/>
        <v>0</v>
      </c>
      <c r="O219" s="446">
        <f t="shared" si="87"/>
        <v>0</v>
      </c>
      <c r="P219" s="446">
        <f t="shared" si="87"/>
        <v>0</v>
      </c>
      <c r="Q219" s="446">
        <f t="shared" si="87"/>
        <v>0</v>
      </c>
      <c r="R219" s="446">
        <f t="shared" si="87"/>
        <v>0</v>
      </c>
      <c r="S219" s="446">
        <f t="shared" si="87"/>
        <v>0</v>
      </c>
      <c r="T219" s="446">
        <f t="shared" si="87"/>
        <v>0</v>
      </c>
      <c r="U219" s="446">
        <f t="shared" si="87"/>
        <v>0</v>
      </c>
      <c r="V219" s="446">
        <f t="shared" si="87"/>
        <v>0</v>
      </c>
      <c r="W219" s="446">
        <f t="shared" si="87"/>
        <v>0</v>
      </c>
      <c r="X219" s="446">
        <f t="shared" si="87"/>
        <v>0</v>
      </c>
      <c r="Y219" s="446">
        <f t="shared" si="87"/>
        <v>0</v>
      </c>
      <c r="Z219" s="446">
        <f t="shared" si="87"/>
        <v>0</v>
      </c>
      <c r="AA219" s="446">
        <f t="shared" si="87"/>
        <v>0</v>
      </c>
      <c r="AB219" s="446">
        <f t="shared" si="87"/>
        <v>0</v>
      </c>
      <c r="AC219" s="446">
        <f t="shared" si="87"/>
        <v>0</v>
      </c>
      <c r="AD219" s="358"/>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27" t="s">
        <v>200</v>
      </c>
      <c r="D220" s="440">
        <f>-SUM(F220:AC220)/1000</f>
        <v>0</v>
      </c>
      <c r="E220" s="25"/>
      <c r="F220" s="446">
        <f t="shared" ref="F220:AC220" si="88">F199*F$187</f>
        <v>0</v>
      </c>
      <c r="G220" s="446">
        <f t="shared" si="88"/>
        <v>0</v>
      </c>
      <c r="H220" s="446">
        <f t="shared" si="88"/>
        <v>0</v>
      </c>
      <c r="I220" s="446">
        <f t="shared" si="88"/>
        <v>0</v>
      </c>
      <c r="J220" s="446">
        <f t="shared" si="88"/>
        <v>0</v>
      </c>
      <c r="K220" s="446">
        <f t="shared" si="88"/>
        <v>0</v>
      </c>
      <c r="L220" s="446">
        <f t="shared" si="88"/>
        <v>0</v>
      </c>
      <c r="M220" s="446">
        <f t="shared" si="88"/>
        <v>0</v>
      </c>
      <c r="N220" s="446">
        <f t="shared" si="88"/>
        <v>0</v>
      </c>
      <c r="O220" s="446">
        <f t="shared" si="88"/>
        <v>0</v>
      </c>
      <c r="P220" s="446">
        <f t="shared" si="88"/>
        <v>0</v>
      </c>
      <c r="Q220" s="446">
        <f t="shared" si="88"/>
        <v>0</v>
      </c>
      <c r="R220" s="446">
        <f t="shared" si="88"/>
        <v>0</v>
      </c>
      <c r="S220" s="446">
        <f t="shared" si="88"/>
        <v>0</v>
      </c>
      <c r="T220" s="446">
        <f t="shared" si="88"/>
        <v>0</v>
      </c>
      <c r="U220" s="446">
        <f t="shared" si="88"/>
        <v>0</v>
      </c>
      <c r="V220" s="446">
        <f t="shared" si="88"/>
        <v>0</v>
      </c>
      <c r="W220" s="446">
        <f t="shared" si="88"/>
        <v>0</v>
      </c>
      <c r="X220" s="446">
        <f t="shared" si="88"/>
        <v>0</v>
      </c>
      <c r="Y220" s="446">
        <f t="shared" si="88"/>
        <v>0</v>
      </c>
      <c r="Z220" s="446">
        <f t="shared" si="88"/>
        <v>0</v>
      </c>
      <c r="AA220" s="446">
        <f t="shared" si="88"/>
        <v>0</v>
      </c>
      <c r="AB220" s="446">
        <f t="shared" si="88"/>
        <v>0</v>
      </c>
      <c r="AC220" s="446">
        <f t="shared" si="88"/>
        <v>0</v>
      </c>
      <c r="AD220" s="358"/>
      <c r="AE220"/>
      <c r="AF220"/>
      <c r="AG220"/>
      <c r="AH220"/>
      <c r="AI220"/>
      <c r="AJ220"/>
      <c r="AK220"/>
      <c r="AL220"/>
      <c r="AM220"/>
      <c r="AN220"/>
      <c r="AO220"/>
      <c r="AP220"/>
      <c r="AQ220"/>
      <c r="AR220"/>
      <c r="AS220"/>
      <c r="AT220"/>
      <c r="AU220"/>
      <c r="AV220"/>
      <c r="AW220"/>
      <c r="AX220"/>
      <c r="AY220"/>
      <c r="AZ220"/>
      <c r="BA220"/>
    </row>
    <row r="221" spans="1:53" s="76" customFormat="1" ht="15.75">
      <c r="A221" s="25"/>
      <c r="B221" s="25"/>
      <c r="C221" s="428" t="s">
        <v>563</v>
      </c>
      <c r="D221" s="440">
        <f>-SUM(F221:AC221)/1000</f>
        <v>33.479021957079269</v>
      </c>
      <c r="E221" s="25"/>
      <c r="F221" s="446">
        <f t="shared" ref="F221:AC221" si="89">F200*F$187</f>
        <v>0</v>
      </c>
      <c r="G221" s="446">
        <f t="shared" si="89"/>
        <v>-33479.021957079269</v>
      </c>
      <c r="H221" s="446">
        <f t="shared" si="89"/>
        <v>0</v>
      </c>
      <c r="I221" s="446">
        <f t="shared" si="89"/>
        <v>0</v>
      </c>
      <c r="J221" s="446">
        <f t="shared" si="89"/>
        <v>0</v>
      </c>
      <c r="K221" s="446">
        <f t="shared" si="89"/>
        <v>0</v>
      </c>
      <c r="L221" s="446">
        <f t="shared" si="89"/>
        <v>0</v>
      </c>
      <c r="M221" s="446">
        <f t="shared" si="89"/>
        <v>0</v>
      </c>
      <c r="N221" s="446">
        <f t="shared" si="89"/>
        <v>0</v>
      </c>
      <c r="O221" s="446">
        <f t="shared" si="89"/>
        <v>0</v>
      </c>
      <c r="P221" s="446">
        <f t="shared" si="89"/>
        <v>0</v>
      </c>
      <c r="Q221" s="446">
        <f t="shared" si="89"/>
        <v>0</v>
      </c>
      <c r="R221" s="446">
        <f t="shared" si="89"/>
        <v>0</v>
      </c>
      <c r="S221" s="446">
        <f t="shared" si="89"/>
        <v>0</v>
      </c>
      <c r="T221" s="446">
        <f t="shared" si="89"/>
        <v>0</v>
      </c>
      <c r="U221" s="446">
        <f t="shared" si="89"/>
        <v>0</v>
      </c>
      <c r="V221" s="446">
        <f t="shared" si="89"/>
        <v>0</v>
      </c>
      <c r="W221" s="446">
        <f t="shared" si="89"/>
        <v>0</v>
      </c>
      <c r="X221" s="446">
        <f t="shared" si="89"/>
        <v>0</v>
      </c>
      <c r="Y221" s="446">
        <f t="shared" si="89"/>
        <v>0</v>
      </c>
      <c r="Z221" s="446">
        <f t="shared" si="89"/>
        <v>0</v>
      </c>
      <c r="AA221" s="446">
        <f t="shared" si="89"/>
        <v>0</v>
      </c>
      <c r="AB221" s="446">
        <f t="shared" si="89"/>
        <v>0</v>
      </c>
      <c r="AC221" s="446">
        <f t="shared" si="89"/>
        <v>0</v>
      </c>
      <c r="AD221" s="358"/>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27" t="s">
        <v>201</v>
      </c>
      <c r="D222" s="440">
        <f>-SUM(F222:AC222)/1000</f>
        <v>702.92539949576087</v>
      </c>
      <c r="E222" s="25"/>
      <c r="F222" s="446">
        <f t="shared" ref="F222:AC222" si="90">F201*F$187</f>
        <v>0</v>
      </c>
      <c r="G222" s="446">
        <f t="shared" si="90"/>
        <v>0</v>
      </c>
      <c r="H222" s="446">
        <f t="shared" si="90"/>
        <v>-36974.165494431363</v>
      </c>
      <c r="I222" s="446">
        <f t="shared" si="90"/>
        <v>-36790.039696869178</v>
      </c>
      <c r="J222" s="446">
        <f t="shared" si="90"/>
        <v>-36585.273146497442</v>
      </c>
      <c r="K222" s="446">
        <f t="shared" si="90"/>
        <v>-36361.224417867437</v>
      </c>
      <c r="L222" s="446">
        <f t="shared" si="90"/>
        <v>-36119.19045556552</v>
      </c>
      <c r="M222" s="446">
        <f t="shared" si="90"/>
        <v>-35860.409011780153</v>
      </c>
      <c r="N222" s="446">
        <f t="shared" si="90"/>
        <v>-35586.060994157386</v>
      </c>
      <c r="O222" s="446">
        <f t="shared" si="90"/>
        <v>-34809.653673390327</v>
      </c>
      <c r="P222" s="446">
        <f t="shared" si="90"/>
        <v>-34048.285015578003</v>
      </c>
      <c r="Q222" s="446">
        <f t="shared" si="90"/>
        <v>-33301.737636629587</v>
      </c>
      <c r="R222" s="446">
        <f t="shared" si="90"/>
        <v>-32569.794057761312</v>
      </c>
      <c r="S222" s="446">
        <f t="shared" si="90"/>
        <v>-31852.236895427177</v>
      </c>
      <c r="T222" s="446">
        <f t="shared" si="90"/>
        <v>-31148.849040266454</v>
      </c>
      <c r="U222" s="446">
        <f t="shared" si="90"/>
        <v>-30459.413825545958</v>
      </c>
      <c r="V222" s="446">
        <f t="shared" si="90"/>
        <v>-29783.715185557765</v>
      </c>
      <c r="W222" s="446">
        <f t="shared" si="90"/>
        <v>-29121.537804414209</v>
      </c>
      <c r="X222" s="446">
        <f t="shared" si="90"/>
        <v>-28472.667255665485</v>
      </c>
      <c r="Y222" s="446">
        <f t="shared" si="90"/>
        <v>-27836.890133147972</v>
      </c>
      <c r="Z222" s="446">
        <f t="shared" si="90"/>
        <v>-27213.994173455871</v>
      </c>
      <c r="AA222" s="446">
        <f t="shared" si="90"/>
        <v>-26603.768370412981</v>
      </c>
      <c r="AB222" s="446">
        <f t="shared" si="90"/>
        <v>-26006.00308190674</v>
      </c>
      <c r="AC222" s="446">
        <f t="shared" si="90"/>
        <v>-25420.490129432481</v>
      </c>
      <c r="AD222" s="358"/>
      <c r="AE222"/>
      <c r="AF222"/>
      <c r="AG222"/>
      <c r="AH222"/>
      <c r="AI222"/>
      <c r="AJ222"/>
      <c r="AK222"/>
      <c r="AL222"/>
      <c r="AM222"/>
      <c r="AN222"/>
      <c r="AO222"/>
      <c r="AP222"/>
      <c r="AQ222"/>
      <c r="AR222"/>
      <c r="AS222"/>
      <c r="AT222"/>
      <c r="AU222"/>
      <c r="AV222"/>
      <c r="AW222"/>
      <c r="AX222"/>
      <c r="AY222"/>
      <c r="AZ222"/>
      <c r="BA222"/>
    </row>
    <row r="223" spans="1:53" s="76" customFormat="1" ht="15.75">
      <c r="A223" s="25"/>
      <c r="B223" s="25"/>
      <c r="C223" s="426"/>
      <c r="D223" s="441"/>
      <c r="E223" s="25"/>
      <c r="F223" s="438">
        <f>SUM(F219:F222)</f>
        <v>0</v>
      </c>
      <c r="G223" s="438">
        <f t="shared" ref="G223:AC223" si="91">SUM(G219:G222)</f>
        <v>-506275.68516756094</v>
      </c>
      <c r="H223" s="438">
        <f t="shared" si="91"/>
        <v>-36974.165494431363</v>
      </c>
      <c r="I223" s="438">
        <f t="shared" si="91"/>
        <v>-36790.039696869178</v>
      </c>
      <c r="J223" s="438">
        <f t="shared" si="91"/>
        <v>-36585.273146497442</v>
      </c>
      <c r="K223" s="438">
        <f t="shared" si="91"/>
        <v>-36361.224417867437</v>
      </c>
      <c r="L223" s="438">
        <f t="shared" si="91"/>
        <v>-36119.19045556552</v>
      </c>
      <c r="M223" s="438">
        <f t="shared" si="91"/>
        <v>-35860.409011780153</v>
      </c>
      <c r="N223" s="438">
        <f t="shared" si="91"/>
        <v>-35586.060994157386</v>
      </c>
      <c r="O223" s="438">
        <f t="shared" si="91"/>
        <v>-34809.653673390327</v>
      </c>
      <c r="P223" s="438">
        <f t="shared" si="91"/>
        <v>-34048.285015578003</v>
      </c>
      <c r="Q223" s="438">
        <f t="shared" si="91"/>
        <v>-33301.737636629587</v>
      </c>
      <c r="R223" s="438">
        <f t="shared" si="91"/>
        <v>-32569.794057761312</v>
      </c>
      <c r="S223" s="438">
        <f t="shared" si="91"/>
        <v>-31852.236895427177</v>
      </c>
      <c r="T223" s="438">
        <f t="shared" si="91"/>
        <v>-31148.849040266454</v>
      </c>
      <c r="U223" s="438">
        <f t="shared" si="91"/>
        <v>-30459.413825545958</v>
      </c>
      <c r="V223" s="438">
        <f t="shared" si="91"/>
        <v>-29783.715185557765</v>
      </c>
      <c r="W223" s="438">
        <f t="shared" si="91"/>
        <v>-29121.537804414209</v>
      </c>
      <c r="X223" s="438">
        <f t="shared" si="91"/>
        <v>-28472.667255665485</v>
      </c>
      <c r="Y223" s="438">
        <f t="shared" si="91"/>
        <v>-27836.890133147972</v>
      </c>
      <c r="Z223" s="438">
        <f t="shared" si="91"/>
        <v>-27213.994173455871</v>
      </c>
      <c r="AA223" s="438">
        <f t="shared" si="91"/>
        <v>-26603.768370412981</v>
      </c>
      <c r="AB223" s="438">
        <f t="shared" si="91"/>
        <v>-26006.00308190674</v>
      </c>
      <c r="AC223" s="438">
        <f t="shared" si="91"/>
        <v>-25420.490129432481</v>
      </c>
      <c r="AD223" s="358"/>
      <c r="AE223"/>
      <c r="AF223"/>
      <c r="AG223"/>
      <c r="AH223"/>
      <c r="AI223"/>
      <c r="AJ223"/>
      <c r="AK223"/>
      <c r="AL223"/>
      <c r="AM223"/>
      <c r="AN223"/>
      <c r="AO223"/>
      <c r="AP223"/>
      <c r="AQ223"/>
      <c r="AR223"/>
      <c r="AS223"/>
      <c r="AT223"/>
      <c r="AU223"/>
      <c r="AV223"/>
      <c r="AW223"/>
      <c r="AX223"/>
      <c r="AY223"/>
      <c r="AZ223"/>
      <c r="BA223"/>
    </row>
    <row r="224" spans="1:53" s="76" customFormat="1" ht="15.75">
      <c r="A224" s="25"/>
      <c r="B224" s="25"/>
      <c r="C224" s="425" t="s">
        <v>0</v>
      </c>
      <c r="D224" s="442">
        <f>SUM(D225:D231)</f>
        <v>4126.0219062254337</v>
      </c>
      <c r="E224" s="25"/>
      <c r="F224" s="430"/>
      <c r="G224" s="430"/>
      <c r="H224" s="430"/>
      <c r="I224" s="430"/>
      <c r="J224" s="430"/>
      <c r="K224" s="430"/>
      <c r="L224" s="430"/>
      <c r="M224" s="430"/>
      <c r="N224" s="430"/>
      <c r="O224" s="430"/>
      <c r="P224" s="430"/>
      <c r="Q224" s="430"/>
      <c r="R224" s="430"/>
      <c r="S224" s="430"/>
      <c r="T224" s="430"/>
      <c r="U224" s="430"/>
      <c r="V224" s="430"/>
      <c r="W224" s="430"/>
      <c r="X224" s="430"/>
      <c r="Y224" s="430"/>
      <c r="Z224" s="430"/>
      <c r="AA224" s="430"/>
      <c r="AB224" s="430"/>
      <c r="AC224" s="430"/>
      <c r="AD224" s="358"/>
      <c r="AE224"/>
      <c r="AF224"/>
      <c r="AG224"/>
      <c r="AH224"/>
      <c r="AI224"/>
      <c r="AJ224"/>
      <c r="AK224"/>
      <c r="AL224"/>
      <c r="AM224"/>
      <c r="AN224"/>
      <c r="AO224"/>
      <c r="AP224"/>
      <c r="AQ224"/>
      <c r="AR224"/>
      <c r="AS224"/>
      <c r="AT224"/>
      <c r="AU224"/>
      <c r="AV224"/>
      <c r="AW224"/>
      <c r="AX224"/>
      <c r="AY224"/>
      <c r="AZ224"/>
      <c r="BA224"/>
    </row>
    <row r="225" spans="1:53" s="76" customFormat="1" ht="15.75">
      <c r="A225" s="25"/>
      <c r="B225" s="25"/>
      <c r="C225" s="427" t="s">
        <v>599</v>
      </c>
      <c r="D225" s="440">
        <f t="shared" ref="D225:D231" si="92">SUM(F225:AC225)/1000</f>
        <v>427.07501343022</v>
      </c>
      <c r="E225" s="25"/>
      <c r="F225" s="448">
        <f t="shared" ref="F225:AC225" si="93">F204*F$187</f>
        <v>0</v>
      </c>
      <c r="G225" s="448">
        <f t="shared" si="93"/>
        <v>0</v>
      </c>
      <c r="H225" s="448">
        <f t="shared" si="93"/>
        <v>20025.528911992555</v>
      </c>
      <c r="I225" s="448">
        <f t="shared" si="93"/>
        <v>20163.76823384238</v>
      </c>
      <c r="J225" s="448">
        <f t="shared" si="93"/>
        <v>20289.818140503477</v>
      </c>
      <c r="K225" s="448">
        <f t="shared" si="93"/>
        <v>20404.027157796292</v>
      </c>
      <c r="L225" s="448">
        <f t="shared" si="93"/>
        <v>20506.738937181912</v>
      </c>
      <c r="M225" s="448">
        <f t="shared" si="93"/>
        <v>20598.292133521179</v>
      </c>
      <c r="N225" s="448">
        <f t="shared" si="93"/>
        <v>20679.020296575247</v>
      </c>
      <c r="O225" s="448">
        <f t="shared" si="93"/>
        <v>20462.608368388155</v>
      </c>
      <c r="P225" s="448">
        <f t="shared" si="93"/>
        <v>20246.289863221609</v>
      </c>
      <c r="Q225" s="448">
        <f t="shared" si="93"/>
        <v>20030.148417540728</v>
      </c>
      <c r="R225" s="448">
        <f t="shared" si="93"/>
        <v>19814.264674118869</v>
      </c>
      <c r="S225" s="448">
        <f t="shared" si="93"/>
        <v>19598.716343152089</v>
      </c>
      <c r="T225" s="448">
        <f t="shared" si="93"/>
        <v>19383.578263301541</v>
      </c>
      <c r="U225" s="448">
        <f t="shared" si="93"/>
        <v>19168.922462594899</v>
      </c>
      <c r="V225" s="448">
        <f t="shared" si="93"/>
        <v>18954.818219121582</v>
      </c>
      <c r="W225" s="448">
        <f t="shared" si="93"/>
        <v>18741.332121462015</v>
      </c>
      <c r="X225" s="448">
        <f t="shared" si="93"/>
        <v>18528.528128793714</v>
      </c>
      <c r="Y225" s="448">
        <f t="shared" si="93"/>
        <v>18316.467630622818</v>
      </c>
      <c r="Z225" s="448">
        <f t="shared" si="93"/>
        <v>18105.209506092051</v>
      </c>
      <c r="AA225" s="448">
        <f t="shared" si="93"/>
        <v>17894.810182820453</v>
      </c>
      <c r="AB225" s="448">
        <f t="shared" si="93"/>
        <v>17685.323695233124</v>
      </c>
      <c r="AC225" s="448">
        <f t="shared" si="93"/>
        <v>17476.801742343254</v>
      </c>
      <c r="AD225" s="358"/>
      <c r="AE225"/>
      <c r="AF225"/>
      <c r="AG225"/>
      <c r="AH225"/>
      <c r="AI225"/>
      <c r="AJ225"/>
      <c r="AK225"/>
      <c r="AL225"/>
      <c r="AM225"/>
      <c r="AN225"/>
      <c r="AO225"/>
      <c r="AP225"/>
      <c r="AQ225"/>
      <c r="AR225"/>
      <c r="AS225"/>
      <c r="AT225"/>
      <c r="AU225"/>
      <c r="AV225"/>
      <c r="AW225"/>
      <c r="AX225"/>
      <c r="AY225"/>
      <c r="AZ225"/>
      <c r="BA225"/>
    </row>
    <row r="226" spans="1:53" s="76" customFormat="1" ht="15.75">
      <c r="A226" s="25"/>
      <c r="B226" s="25"/>
      <c r="C226" s="427" t="s">
        <v>600</v>
      </c>
      <c r="D226" s="440">
        <f t="shared" si="92"/>
        <v>1843.9900007761808</v>
      </c>
      <c r="E226" s="25"/>
      <c r="F226" s="446">
        <f t="shared" ref="F226:AC226" si="94">F205*F$187</f>
        <v>0</v>
      </c>
      <c r="G226" s="446">
        <f t="shared" si="94"/>
        <v>0</v>
      </c>
      <c r="H226" s="446">
        <f t="shared" si="94"/>
        <v>96994.63343860337</v>
      </c>
      <c r="I226" s="446">
        <f t="shared" si="94"/>
        <v>96511.614714520867</v>
      </c>
      <c r="J226" s="446">
        <f t="shared" si="94"/>
        <v>95974.448933273292</v>
      </c>
      <c r="K226" s="446">
        <f t="shared" si="94"/>
        <v>95386.700054691421</v>
      </c>
      <c r="L226" s="446">
        <f t="shared" si="94"/>
        <v>94751.770364210563</v>
      </c>
      <c r="M226" s="446">
        <f t="shared" si="94"/>
        <v>94072.906867360172</v>
      </c>
      <c r="N226" s="446">
        <f t="shared" si="94"/>
        <v>93353.207448912581</v>
      </c>
      <c r="O226" s="446">
        <f t="shared" si="94"/>
        <v>91316.451717719916</v>
      </c>
      <c r="P226" s="446">
        <f t="shared" si="94"/>
        <v>89319.147035149857</v>
      </c>
      <c r="Q226" s="446">
        <f t="shared" si="94"/>
        <v>87360.723135723179</v>
      </c>
      <c r="R226" s="446">
        <f t="shared" si="94"/>
        <v>85440.609505551838</v>
      </c>
      <c r="S226" s="446">
        <f t="shared" si="94"/>
        <v>83558.235880585926</v>
      </c>
      <c r="T226" s="446">
        <f t="shared" si="94"/>
        <v>81713.032716047805</v>
      </c>
      <c r="U226" s="446">
        <f t="shared" si="94"/>
        <v>79904.431628308594</v>
      </c>
      <c r="V226" s="446">
        <f t="shared" si="94"/>
        <v>78131.865810413699</v>
      </c>
      <c r="W226" s="446">
        <f t="shared" si="94"/>
        <v>76394.770422418325</v>
      </c>
      <c r="X226" s="446">
        <f t="shared" si="94"/>
        <v>74692.582957647377</v>
      </c>
      <c r="Y226" s="446">
        <f t="shared" si="94"/>
        <v>73024.74358595084</v>
      </c>
      <c r="Z226" s="446">
        <f t="shared" si="94"/>
        <v>71390.695474984794</v>
      </c>
      <c r="AA226" s="446">
        <f t="shared" si="94"/>
        <v>69789.88509050601</v>
      </c>
      <c r="AB226" s="446">
        <f t="shared" si="94"/>
        <v>68221.762476630771</v>
      </c>
      <c r="AC226" s="446">
        <f t="shared" si="94"/>
        <v>66685.781516969917</v>
      </c>
      <c r="AD226" s="358"/>
      <c r="AE226"/>
      <c r="AF226"/>
      <c r="AG226"/>
      <c r="AH226"/>
      <c r="AI226"/>
      <c r="AJ226"/>
      <c r="AK226"/>
      <c r="AL226"/>
      <c r="AM226"/>
      <c r="AN226"/>
      <c r="AO226"/>
      <c r="AP226"/>
      <c r="AQ226"/>
      <c r="AR226"/>
      <c r="AS226"/>
      <c r="AT226"/>
      <c r="AU226"/>
      <c r="AV226"/>
      <c r="AW226"/>
      <c r="AX226"/>
      <c r="AY226"/>
      <c r="AZ226"/>
      <c r="BA226"/>
    </row>
    <row r="227" spans="1:53" s="76" customFormat="1" ht="15.75">
      <c r="A227" s="25"/>
      <c r="B227" s="25"/>
      <c r="C227" s="427" t="s">
        <v>202</v>
      </c>
      <c r="D227" s="440">
        <f t="shared" si="92"/>
        <v>74.282643093460621</v>
      </c>
      <c r="E227" s="25"/>
      <c r="F227" s="446">
        <f t="shared" ref="F227:AC227" si="95">F206*F$187</f>
        <v>0</v>
      </c>
      <c r="G227" s="446">
        <f t="shared" si="95"/>
        <v>0</v>
      </c>
      <c r="H227" s="446">
        <f t="shared" si="95"/>
        <v>3094.3667267564551</v>
      </c>
      <c r="I227" s="446">
        <f t="shared" si="95"/>
        <v>3158.2783952335849</v>
      </c>
      <c r="J227" s="446">
        <f t="shared" si="95"/>
        <v>3220.1259049899795</v>
      </c>
      <c r="K227" s="446">
        <f t="shared" si="95"/>
        <v>3279.8938584373727</v>
      </c>
      <c r="L227" s="446">
        <f t="shared" si="95"/>
        <v>3337.5712018325435</v>
      </c>
      <c r="M227" s="446">
        <f t="shared" si="95"/>
        <v>3393.1509484611097</v>
      </c>
      <c r="N227" s="446">
        <f t="shared" si="95"/>
        <v>3446.6299150900081</v>
      </c>
      <c r="O227" s="446">
        <f t="shared" si="95"/>
        <v>3449.684749529476</v>
      </c>
      <c r="P227" s="446">
        <f t="shared" si="95"/>
        <v>3451.3142867407068</v>
      </c>
      <c r="Q227" s="446">
        <f t="shared" si="95"/>
        <v>3451.5674583811474</v>
      </c>
      <c r="R227" s="446">
        <f t="shared" si="95"/>
        <v>3450.492207381727</v>
      </c>
      <c r="S227" s="446">
        <f t="shared" si="95"/>
        <v>3448.1354899241314</v>
      </c>
      <c r="T227" s="446">
        <f t="shared" si="95"/>
        <v>3444.5432784579548</v>
      </c>
      <c r="U227" s="446">
        <f t="shared" si="95"/>
        <v>3439.7605656881219</v>
      </c>
      <c r="V227" s="446">
        <f t="shared" si="95"/>
        <v>3433.8313694664585</v>
      </c>
      <c r="W227" s="446">
        <f t="shared" si="95"/>
        <v>3426.7987385244614</v>
      </c>
      <c r="X227" s="446">
        <f t="shared" si="95"/>
        <v>3418.7047589873046</v>
      </c>
      <c r="Y227" s="446">
        <f t="shared" si="95"/>
        <v>3409.5905616121104</v>
      </c>
      <c r="Z227" s="446">
        <f t="shared" si="95"/>
        <v>3399.4963296963965</v>
      </c>
      <c r="AA227" s="446">
        <f t="shared" si="95"/>
        <v>3388.4613076051028</v>
      </c>
      <c r="AB227" s="446">
        <f t="shared" si="95"/>
        <v>3376.5238098674477</v>
      </c>
      <c r="AC227" s="446">
        <f t="shared" si="95"/>
        <v>3363.7212307970231</v>
      </c>
      <c r="AD227" s="358"/>
      <c r="AE227"/>
      <c r="AF227"/>
      <c r="AG227"/>
      <c r="AH227"/>
      <c r="AI227"/>
      <c r="AJ227"/>
      <c r="AK227"/>
      <c r="AL227"/>
      <c r="AM227"/>
      <c r="AN227"/>
      <c r="AO227"/>
      <c r="AP227"/>
      <c r="AQ227"/>
      <c r="AR227"/>
      <c r="AS227"/>
      <c r="AT227"/>
      <c r="AU227"/>
      <c r="AV227"/>
      <c r="AW227"/>
      <c r="AX227"/>
      <c r="AY227"/>
      <c r="AZ227"/>
      <c r="BA227"/>
    </row>
    <row r="228" spans="1:53" s="76" customFormat="1" ht="15.75">
      <c r="A228" s="25"/>
      <c r="B228" s="25"/>
      <c r="C228" s="427" t="s">
        <v>203</v>
      </c>
      <c r="D228" s="440">
        <f t="shared" si="92"/>
        <v>387.85151277150521</v>
      </c>
      <c r="E228" s="25"/>
      <c r="F228" s="446">
        <f t="shared" ref="F228:AC228" si="96">F207*F$187</f>
        <v>0</v>
      </c>
      <c r="G228" s="446">
        <f t="shared" si="96"/>
        <v>0</v>
      </c>
      <c r="H228" s="446">
        <f t="shared" si="96"/>
        <v>20401.149298014061</v>
      </c>
      <c r="I228" s="446">
        <f t="shared" si="96"/>
        <v>20299.554634944583</v>
      </c>
      <c r="J228" s="446">
        <f t="shared" si="96"/>
        <v>20186.571071704941</v>
      </c>
      <c r="K228" s="446">
        <f t="shared" si="96"/>
        <v>20062.948225815438</v>
      </c>
      <c r="L228" s="446">
        <f t="shared" si="96"/>
        <v>19929.401709373975</v>
      </c>
      <c r="M228" s="446">
        <f t="shared" si="96"/>
        <v>19786.614474026741</v>
      </c>
      <c r="N228" s="446">
        <f t="shared" si="96"/>
        <v>19635.238106438974</v>
      </c>
      <c r="O228" s="446">
        <f t="shared" si="96"/>
        <v>19206.841644876495</v>
      </c>
      <c r="P228" s="446">
        <f t="shared" si="96"/>
        <v>18786.743031394672</v>
      </c>
      <c r="Q228" s="446">
        <f t="shared" si="96"/>
        <v>18374.822320479332</v>
      </c>
      <c r="R228" s="446">
        <f t="shared" si="96"/>
        <v>17970.959514367762</v>
      </c>
      <c r="S228" s="446">
        <f t="shared" si="96"/>
        <v>17575.034667846412</v>
      </c>
      <c r="T228" s="446">
        <f t="shared" si="96"/>
        <v>17186.927986988256</v>
      </c>
      <c r="U228" s="446">
        <f t="shared" si="96"/>
        <v>16806.519922093881</v>
      </c>
      <c r="V228" s="446">
        <f t="shared" si="96"/>
        <v>16433.691255090147</v>
      </c>
      <c r="W228" s="446">
        <f t="shared" si="96"/>
        <v>16068.323181630522</v>
      </c>
      <c r="X228" s="446">
        <f t="shared" si="96"/>
        <v>15710.297388131523</v>
      </c>
      <c r="Y228" s="446">
        <f t="shared" si="96"/>
        <v>15359.496123970608</v>
      </c>
      <c r="Z228" s="446">
        <f t="shared" si="96"/>
        <v>15015.802269062042</v>
      </c>
      <c r="AA228" s="446">
        <f t="shared" si="96"/>
        <v>14679.099397018765</v>
      </c>
      <c r="AB228" s="446">
        <f t="shared" si="96"/>
        <v>14349.271834099924</v>
      </c>
      <c r="AC228" s="446">
        <f t="shared" si="96"/>
        <v>14026.204714136187</v>
      </c>
      <c r="AD228" s="358"/>
      <c r="AE228"/>
      <c r="AF228"/>
      <c r="AG228"/>
      <c r="AH228"/>
      <c r="AI228"/>
      <c r="AJ228"/>
      <c r="AK228"/>
      <c r="AL228"/>
      <c r="AM228"/>
      <c r="AN228"/>
      <c r="AO228"/>
      <c r="AP228"/>
      <c r="AQ228"/>
      <c r="AR228"/>
      <c r="AS228"/>
      <c r="AT228"/>
      <c r="AU228"/>
      <c r="AV228"/>
      <c r="AW228"/>
      <c r="AX228"/>
      <c r="AY228"/>
      <c r="AZ228"/>
      <c r="BA228"/>
    </row>
    <row r="229" spans="1:53" ht="15.75">
      <c r="C229" s="427" t="s">
        <v>204</v>
      </c>
      <c r="D229" s="440">
        <f t="shared" si="92"/>
        <v>440.87170394862966</v>
      </c>
      <c r="F229" s="446">
        <f t="shared" ref="F229:AC229" si="97">F208*F$187</f>
        <v>0</v>
      </c>
      <c r="G229" s="446">
        <f t="shared" si="97"/>
        <v>0</v>
      </c>
      <c r="H229" s="446">
        <f t="shared" si="97"/>
        <v>29986.843503764365</v>
      </c>
      <c r="I229" s="446">
        <f t="shared" si="97"/>
        <v>28638.691871020801</v>
      </c>
      <c r="J229" s="446">
        <f t="shared" si="97"/>
        <v>27408.145850481043</v>
      </c>
      <c r="K229" s="446">
        <f t="shared" si="97"/>
        <v>26115.122507878899</v>
      </c>
      <c r="L229" s="446">
        <f t="shared" si="97"/>
        <v>24802.938947172919</v>
      </c>
      <c r="M229" s="446">
        <f t="shared" si="97"/>
        <v>23508.881301488509</v>
      </c>
      <c r="N229" s="446">
        <f t="shared" si="97"/>
        <v>22234.123144344987</v>
      </c>
      <c r="O229" s="446">
        <f t="shared" si="97"/>
        <v>20972.818085392628</v>
      </c>
      <c r="P229" s="446">
        <f t="shared" si="97"/>
        <v>20361.350005981101</v>
      </c>
      <c r="Q229" s="446">
        <f t="shared" si="97"/>
        <v>19765.525682900014</v>
      </c>
      <c r="R229" s="446">
        <f t="shared" si="97"/>
        <v>19185.016173623666</v>
      </c>
      <c r="S229" s="446">
        <f t="shared" si="97"/>
        <v>18619.496570621581</v>
      </c>
      <c r="T229" s="446">
        <f t="shared" si="97"/>
        <v>18068.646099532856</v>
      </c>
      <c r="U229" s="446">
        <f t="shared" si="97"/>
        <v>17532.148206616363</v>
      </c>
      <c r="V229" s="446">
        <f t="shared" si="97"/>
        <v>17009.690636064406</v>
      </c>
      <c r="W229" s="446">
        <f t="shared" si="97"/>
        <v>16500.965497741126</v>
      </c>
      <c r="X229" s="446">
        <f t="shared" si="97"/>
        <v>16005.669325881345</v>
      </c>
      <c r="Y229" s="446">
        <f t="shared" si="97"/>
        <v>15523.503129261258</v>
      </c>
      <c r="Z229" s="446">
        <f t="shared" si="97"/>
        <v>15170.027382790357</v>
      </c>
      <c r="AA229" s="446">
        <f t="shared" si="97"/>
        <v>14823.901798036497</v>
      </c>
      <c r="AB229" s="446">
        <f t="shared" si="97"/>
        <v>14485.000315213543</v>
      </c>
      <c r="AC229" s="446">
        <f t="shared" si="97"/>
        <v>14153.197912821624</v>
      </c>
    </row>
    <row r="230" spans="1:53" ht="15.75">
      <c r="C230" s="427" t="s">
        <v>601</v>
      </c>
      <c r="D230" s="440">
        <f t="shared" si="92"/>
        <v>0.30218141516208119</v>
      </c>
      <c r="F230" s="446">
        <f t="shared" ref="F230:AC230" si="98">F209*F$187</f>
        <v>0</v>
      </c>
      <c r="G230" s="446">
        <f t="shared" si="98"/>
        <v>0</v>
      </c>
      <c r="H230" s="446">
        <f t="shared" si="98"/>
        <v>15.894866882828648</v>
      </c>
      <c r="I230" s="446">
        <f t="shared" si="98"/>
        <v>15.815712830186502</v>
      </c>
      <c r="J230" s="446">
        <f t="shared" si="98"/>
        <v>15.727685500382268</v>
      </c>
      <c r="K230" s="446">
        <f t="shared" si="98"/>
        <v>15.631368932605309</v>
      </c>
      <c r="L230" s="446">
        <f t="shared" si="98"/>
        <v>15.5273206718679</v>
      </c>
      <c r="M230" s="446">
        <f t="shared" si="98"/>
        <v>15.416072816893749</v>
      </c>
      <c r="N230" s="446">
        <f t="shared" si="98"/>
        <v>15.29813302944031</v>
      </c>
      <c r="O230" s="446">
        <f t="shared" si="98"/>
        <v>14.964362385926938</v>
      </c>
      <c r="P230" s="446">
        <f t="shared" si="98"/>
        <v>14.637056730671311</v>
      </c>
      <c r="Q230" s="446">
        <f t="shared" si="98"/>
        <v>14.316122612174528</v>
      </c>
      <c r="R230" s="446">
        <f t="shared" si="98"/>
        <v>14.001466538230009</v>
      </c>
      <c r="S230" s="446">
        <f t="shared" si="98"/>
        <v>13.692995057573091</v>
      </c>
      <c r="T230" s="446">
        <f t="shared" si="98"/>
        <v>13.390614836808894</v>
      </c>
      <c r="U230" s="446">
        <f t="shared" si="98"/>
        <v>13.094232732824237</v>
      </c>
      <c r="V230" s="446">
        <f t="shared" si="98"/>
        <v>12.80375586088136</v>
      </c>
      <c r="W230" s="446">
        <f t="shared" si="98"/>
        <v>12.519091658583617</v>
      </c>
      <c r="X230" s="446">
        <f t="shared" si="98"/>
        <v>12.24014794589584</v>
      </c>
      <c r="Y230" s="446">
        <f t="shared" si="98"/>
        <v>11.966832981394866</v>
      </c>
      <c r="Z230" s="446">
        <f t="shared" si="98"/>
        <v>11.699055514919012</v>
      </c>
      <c r="AA230" s="446">
        <f t="shared" si="98"/>
        <v>11.436724836778493</v>
      </c>
      <c r="AB230" s="446">
        <f t="shared" si="98"/>
        <v>11.179750823682422</v>
      </c>
      <c r="AC230" s="446">
        <f t="shared" si="98"/>
        <v>10.928043981531998</v>
      </c>
    </row>
    <row r="231" spans="1:53" ht="15.75">
      <c r="C231" s="427" t="s">
        <v>205</v>
      </c>
      <c r="D231" s="440">
        <f t="shared" si="92"/>
        <v>951.64885079027613</v>
      </c>
      <c r="F231" s="446">
        <f t="shared" ref="F231:AC231" si="99">F210*F$187</f>
        <v>0</v>
      </c>
      <c r="G231" s="446">
        <f t="shared" si="99"/>
        <v>0</v>
      </c>
      <c r="H231" s="446">
        <f t="shared" si="99"/>
        <v>50057.121462598821</v>
      </c>
      <c r="I231" s="446">
        <f t="shared" si="99"/>
        <v>49807.844506926711</v>
      </c>
      <c r="J231" s="446">
        <f t="shared" si="99"/>
        <v>49530.623264841372</v>
      </c>
      <c r="K231" s="446">
        <f t="shared" si="99"/>
        <v>49227.29702954711</v>
      </c>
      <c r="L231" s="446">
        <f t="shared" si="99"/>
        <v>48899.621657107775</v>
      </c>
      <c r="M231" s="446">
        <f t="shared" si="99"/>
        <v>48549.272866523665</v>
      </c>
      <c r="N231" s="446">
        <f t="shared" si="99"/>
        <v>48177.849418353238</v>
      </c>
      <c r="O231" s="446">
        <f t="shared" si="99"/>
        <v>47126.717768987379</v>
      </c>
      <c r="P231" s="446">
        <f t="shared" si="99"/>
        <v>46095.94607009217</v>
      </c>
      <c r="Q231" s="446">
        <f t="shared" si="99"/>
        <v>45085.240018288678</v>
      </c>
      <c r="R231" s="446">
        <f t="shared" si="99"/>
        <v>44094.30518199881</v>
      </c>
      <c r="S231" s="446">
        <f t="shared" si="99"/>
        <v>43122.847258581256</v>
      </c>
      <c r="T231" s="446">
        <f t="shared" si="99"/>
        <v>42170.572316597783</v>
      </c>
      <c r="U231" s="446">
        <f t="shared" si="99"/>
        <v>41237.187023857252</v>
      </c>
      <c r="V231" s="446">
        <f t="shared" si="99"/>
        <v>40322.398861860842</v>
      </c>
      <c r="W231" s="446">
        <f t="shared" si="99"/>
        <v>39425.916327246756</v>
      </c>
      <c r="X231" s="446">
        <f t="shared" si="99"/>
        <v>38547.449120810146</v>
      </c>
      <c r="Y231" s="446">
        <f t="shared" si="99"/>
        <v>37686.708324650892</v>
      </c>
      <c r="Z231" s="446">
        <f t="shared" si="99"/>
        <v>36843.406567980674</v>
      </c>
      <c r="AA231" s="446">
        <f t="shared" si="99"/>
        <v>36017.258182099446</v>
      </c>
      <c r="AB231" s="446">
        <f t="shared" si="99"/>
        <v>35207.979345031745</v>
      </c>
      <c r="AC231" s="446">
        <f t="shared" si="99"/>
        <v>34415.288216293658</v>
      </c>
    </row>
    <row r="232" spans="1:53" ht="15.75">
      <c r="C232" s="426"/>
      <c r="D232" s="441"/>
      <c r="F232" s="437">
        <f>SUM(F225:F231)</f>
        <v>0</v>
      </c>
      <c r="G232" s="437">
        <f t="shared" ref="G232:AC232" si="100">SUM(G225:G231)</f>
        <v>0</v>
      </c>
      <c r="H232" s="437">
        <f t="shared" si="100"/>
        <v>220575.53820861244</v>
      </c>
      <c r="I232" s="437">
        <f t="shared" si="100"/>
        <v>218595.56806931912</v>
      </c>
      <c r="J232" s="437">
        <f t="shared" si="100"/>
        <v>216625.46085129445</v>
      </c>
      <c r="K232" s="437">
        <f t="shared" si="100"/>
        <v>214491.62020309913</v>
      </c>
      <c r="L232" s="437">
        <f t="shared" si="100"/>
        <v>212243.57013755155</v>
      </c>
      <c r="M232" s="437">
        <f t="shared" si="100"/>
        <v>209924.53466419829</v>
      </c>
      <c r="N232" s="437">
        <f t="shared" si="100"/>
        <v>207541.36646274442</v>
      </c>
      <c r="O232" s="437">
        <f t="shared" si="100"/>
        <v>202550.08669727997</v>
      </c>
      <c r="P232" s="437">
        <f t="shared" si="100"/>
        <v>198275.42734931078</v>
      </c>
      <c r="Q232" s="437">
        <f t="shared" si="100"/>
        <v>194082.34315592528</v>
      </c>
      <c r="R232" s="437">
        <f t="shared" si="100"/>
        <v>189969.6487235809</v>
      </c>
      <c r="S232" s="437">
        <f t="shared" si="100"/>
        <v>185936.15920576898</v>
      </c>
      <c r="T232" s="437">
        <f t="shared" si="100"/>
        <v>181980.69127576303</v>
      </c>
      <c r="U232" s="437">
        <f t="shared" si="100"/>
        <v>178102.06404189195</v>
      </c>
      <c r="V232" s="437">
        <f t="shared" si="100"/>
        <v>174299.09990787803</v>
      </c>
      <c r="W232" s="437">
        <f t="shared" si="100"/>
        <v>170570.6253806818</v>
      </c>
      <c r="X232" s="437">
        <f t="shared" si="100"/>
        <v>166915.4718281973</v>
      </c>
      <c r="Y232" s="437">
        <f t="shared" si="100"/>
        <v>163332.47618904992</v>
      </c>
      <c r="Z232" s="437">
        <f t="shared" si="100"/>
        <v>159936.33658612124</v>
      </c>
      <c r="AA232" s="437">
        <f t="shared" si="100"/>
        <v>156604.85268292305</v>
      </c>
      <c r="AB232" s="437">
        <f t="shared" si="100"/>
        <v>153337.04122690024</v>
      </c>
      <c r="AC232" s="437">
        <f t="shared" si="100"/>
        <v>150131.92337734316</v>
      </c>
    </row>
    <row r="233" spans="1:53" ht="15.75">
      <c r="C233" s="425" t="s">
        <v>184</v>
      </c>
      <c r="D233" s="442">
        <f>NPV(0.03,F213:AC213)/1000</f>
        <v>2916.8208215621135</v>
      </c>
    </row>
    <row r="234" spans="1:53" ht="15.75">
      <c r="C234" s="425" t="s">
        <v>185</v>
      </c>
      <c r="D234" s="443">
        <f>IRR(F234:AC234)</f>
        <v>0.35017218897192554</v>
      </c>
      <c r="F234" s="430">
        <f>F223+F232</f>
        <v>0</v>
      </c>
      <c r="G234" s="430">
        <f t="shared" ref="G234:AC234" si="101">G223+G232</f>
        <v>-506275.68516756094</v>
      </c>
      <c r="H234" s="430">
        <f t="shared" si="101"/>
        <v>183601.37271418108</v>
      </c>
      <c r="I234" s="430">
        <f t="shared" si="101"/>
        <v>181805.52837244995</v>
      </c>
      <c r="J234" s="430">
        <f t="shared" si="101"/>
        <v>180040.18770479702</v>
      </c>
      <c r="K234" s="430">
        <f t="shared" si="101"/>
        <v>178130.3957852317</v>
      </c>
      <c r="L234" s="430">
        <f t="shared" si="101"/>
        <v>176124.37968198603</v>
      </c>
      <c r="M234" s="430">
        <f t="shared" si="101"/>
        <v>174064.12565241812</v>
      </c>
      <c r="N234" s="430">
        <f t="shared" si="101"/>
        <v>171955.30546858703</v>
      </c>
      <c r="O234" s="430">
        <f t="shared" si="101"/>
        <v>167740.43302388964</v>
      </c>
      <c r="P234" s="430">
        <f t="shared" si="101"/>
        <v>164227.14233373277</v>
      </c>
      <c r="Q234" s="430">
        <f t="shared" si="101"/>
        <v>160780.6055192957</v>
      </c>
      <c r="R234" s="430">
        <f t="shared" si="101"/>
        <v>157399.85466581958</v>
      </c>
      <c r="S234" s="430">
        <f t="shared" si="101"/>
        <v>154083.92231034182</v>
      </c>
      <c r="T234" s="430">
        <f t="shared" si="101"/>
        <v>150831.84223549659</v>
      </c>
      <c r="U234" s="430">
        <f t="shared" si="101"/>
        <v>147642.650216346</v>
      </c>
      <c r="V234" s="430">
        <f t="shared" si="101"/>
        <v>144515.38472232028</v>
      </c>
      <c r="W234" s="430">
        <f t="shared" si="101"/>
        <v>141449.0875762676</v>
      </c>
      <c r="X234" s="430">
        <f t="shared" si="101"/>
        <v>138442.80457253181</v>
      </c>
      <c r="Y234" s="430">
        <f t="shared" si="101"/>
        <v>135495.58605590195</v>
      </c>
      <c r="Z234" s="430">
        <f t="shared" si="101"/>
        <v>132722.34241266537</v>
      </c>
      <c r="AA234" s="430">
        <f t="shared" si="101"/>
        <v>130001.08431251007</v>
      </c>
      <c r="AB234" s="430">
        <f t="shared" si="101"/>
        <v>127331.03814499351</v>
      </c>
      <c r="AC234" s="430">
        <f t="shared" si="101"/>
        <v>124711.43324791068</v>
      </c>
    </row>
    <row r="235" spans="1:53" ht="15.75">
      <c r="C235" s="425" t="s">
        <v>186</v>
      </c>
      <c r="D235" s="444">
        <f>SUM(D225:D231)/SUM(D219:D222)</f>
        <v>3.412188393276411</v>
      </c>
    </row>
    <row r="238" spans="1:53" ht="14.25">
      <c r="C238" s="436" t="s">
        <v>619</v>
      </c>
      <c r="D238" s="39"/>
      <c r="E238" s="39"/>
    </row>
    <row r="239" spans="1:53" ht="15.75">
      <c r="C239" s="425" t="s">
        <v>1</v>
      </c>
      <c r="D239" s="442">
        <f>SUM(D240:D243)</f>
        <v>913.95976123246328</v>
      </c>
      <c r="E239" s="39"/>
      <c r="F239" s="39"/>
    </row>
    <row r="240" spans="1:53" ht="15.75">
      <c r="C240" s="427" t="s">
        <v>199</v>
      </c>
      <c r="D240" s="440">
        <f>-SUM(F240:AC240)/1000</f>
        <v>438.10811424578566</v>
      </c>
      <c r="E240" s="39"/>
      <c r="F240" s="430">
        <f>F198*F$189</f>
        <v>0</v>
      </c>
      <c r="G240" s="430">
        <f t="shared" ref="G240:AC240" si="102">G198*G$189</f>
        <v>-438108.11424578563</v>
      </c>
      <c r="H240" s="430">
        <f t="shared" si="102"/>
        <v>0</v>
      </c>
      <c r="I240" s="430">
        <f t="shared" si="102"/>
        <v>0</v>
      </c>
      <c r="J240" s="430">
        <f t="shared" si="102"/>
        <v>0</v>
      </c>
      <c r="K240" s="430">
        <f t="shared" si="102"/>
        <v>0</v>
      </c>
      <c r="L240" s="430">
        <f t="shared" si="102"/>
        <v>0</v>
      </c>
      <c r="M240" s="430">
        <f t="shared" si="102"/>
        <v>0</v>
      </c>
      <c r="N240" s="430">
        <f t="shared" si="102"/>
        <v>0</v>
      </c>
      <c r="O240" s="430">
        <f t="shared" si="102"/>
        <v>0</v>
      </c>
      <c r="P240" s="430">
        <f t="shared" si="102"/>
        <v>0</v>
      </c>
      <c r="Q240" s="430">
        <f t="shared" si="102"/>
        <v>0</v>
      </c>
      <c r="R240" s="430">
        <f t="shared" si="102"/>
        <v>0</v>
      </c>
      <c r="S240" s="430">
        <f t="shared" si="102"/>
        <v>0</v>
      </c>
      <c r="T240" s="430">
        <f t="shared" si="102"/>
        <v>0</v>
      </c>
      <c r="U240" s="430">
        <f t="shared" si="102"/>
        <v>0</v>
      </c>
      <c r="V240" s="430">
        <f t="shared" si="102"/>
        <v>0</v>
      </c>
      <c r="W240" s="430">
        <f t="shared" si="102"/>
        <v>0</v>
      </c>
      <c r="X240" s="430">
        <f t="shared" si="102"/>
        <v>0</v>
      </c>
      <c r="Y240" s="430">
        <f t="shared" si="102"/>
        <v>0</v>
      </c>
      <c r="Z240" s="430">
        <f t="shared" si="102"/>
        <v>0</v>
      </c>
      <c r="AA240" s="430">
        <f t="shared" si="102"/>
        <v>0</v>
      </c>
      <c r="AB240" s="430">
        <f t="shared" si="102"/>
        <v>0</v>
      </c>
      <c r="AC240" s="430">
        <f t="shared" si="102"/>
        <v>0</v>
      </c>
    </row>
    <row r="241" spans="3:29" ht="15.75">
      <c r="C241" s="427" t="s">
        <v>200</v>
      </c>
      <c r="D241" s="440">
        <f>-SUM(F241:AC241)/1000</f>
        <v>0</v>
      </c>
      <c r="F241" s="430">
        <f t="shared" ref="F241:AC241" si="103">F199*F$189</f>
        <v>0</v>
      </c>
      <c r="G241" s="430">
        <f t="shared" si="103"/>
        <v>0</v>
      </c>
      <c r="H241" s="430">
        <f t="shared" si="103"/>
        <v>0</v>
      </c>
      <c r="I241" s="430">
        <f t="shared" si="103"/>
        <v>0</v>
      </c>
      <c r="J241" s="430">
        <f t="shared" si="103"/>
        <v>0</v>
      </c>
      <c r="K241" s="430">
        <f t="shared" si="103"/>
        <v>0</v>
      </c>
      <c r="L241" s="430">
        <f t="shared" si="103"/>
        <v>0</v>
      </c>
      <c r="M241" s="430">
        <f t="shared" si="103"/>
        <v>0</v>
      </c>
      <c r="N241" s="430">
        <f t="shared" si="103"/>
        <v>0</v>
      </c>
      <c r="O241" s="430">
        <f t="shared" si="103"/>
        <v>0</v>
      </c>
      <c r="P241" s="430">
        <f t="shared" si="103"/>
        <v>0</v>
      </c>
      <c r="Q241" s="430">
        <f t="shared" si="103"/>
        <v>0</v>
      </c>
      <c r="R241" s="430">
        <f t="shared" si="103"/>
        <v>0</v>
      </c>
      <c r="S241" s="430">
        <f t="shared" si="103"/>
        <v>0</v>
      </c>
      <c r="T241" s="430">
        <f t="shared" si="103"/>
        <v>0</v>
      </c>
      <c r="U241" s="430">
        <f t="shared" si="103"/>
        <v>0</v>
      </c>
      <c r="V241" s="430">
        <f t="shared" si="103"/>
        <v>0</v>
      </c>
      <c r="W241" s="430">
        <f t="shared" si="103"/>
        <v>0</v>
      </c>
      <c r="X241" s="430">
        <f t="shared" si="103"/>
        <v>0</v>
      </c>
      <c r="Y241" s="430">
        <f t="shared" si="103"/>
        <v>0</v>
      </c>
      <c r="Z241" s="430">
        <f t="shared" si="103"/>
        <v>0</v>
      </c>
      <c r="AA241" s="430">
        <f t="shared" si="103"/>
        <v>0</v>
      </c>
      <c r="AB241" s="430">
        <f t="shared" si="103"/>
        <v>0</v>
      </c>
      <c r="AC241" s="430">
        <f t="shared" si="103"/>
        <v>0</v>
      </c>
    </row>
    <row r="242" spans="3:29" ht="15.75">
      <c r="C242" s="428" t="s">
        <v>563</v>
      </c>
      <c r="D242" s="440">
        <f>-SUM(F242:AC242)/1000</f>
        <v>31.022704510669396</v>
      </c>
      <c r="F242" s="430">
        <f t="shared" ref="F242:AC242" si="104">F200*F$189</f>
        <v>0</v>
      </c>
      <c r="G242" s="430">
        <f t="shared" si="104"/>
        <v>-31022.704510669395</v>
      </c>
      <c r="H242" s="430">
        <f t="shared" si="104"/>
        <v>0</v>
      </c>
      <c r="I242" s="430">
        <f t="shared" si="104"/>
        <v>0</v>
      </c>
      <c r="J242" s="430">
        <f t="shared" si="104"/>
        <v>0</v>
      </c>
      <c r="K242" s="430">
        <f t="shared" si="104"/>
        <v>0</v>
      </c>
      <c r="L242" s="430">
        <f t="shared" si="104"/>
        <v>0</v>
      </c>
      <c r="M242" s="430">
        <f t="shared" si="104"/>
        <v>0</v>
      </c>
      <c r="N242" s="430">
        <f t="shared" si="104"/>
        <v>0</v>
      </c>
      <c r="O242" s="430">
        <f t="shared" si="104"/>
        <v>0</v>
      </c>
      <c r="P242" s="430">
        <f t="shared" si="104"/>
        <v>0</v>
      </c>
      <c r="Q242" s="430">
        <f t="shared" si="104"/>
        <v>0</v>
      </c>
      <c r="R242" s="430">
        <f t="shared" si="104"/>
        <v>0</v>
      </c>
      <c r="S242" s="430">
        <f t="shared" si="104"/>
        <v>0</v>
      </c>
      <c r="T242" s="430">
        <f t="shared" si="104"/>
        <v>0</v>
      </c>
      <c r="U242" s="430">
        <f t="shared" si="104"/>
        <v>0</v>
      </c>
      <c r="V242" s="430">
        <f t="shared" si="104"/>
        <v>0</v>
      </c>
      <c r="W242" s="430">
        <f t="shared" si="104"/>
        <v>0</v>
      </c>
      <c r="X242" s="430">
        <f t="shared" si="104"/>
        <v>0</v>
      </c>
      <c r="Y242" s="430">
        <f t="shared" si="104"/>
        <v>0</v>
      </c>
      <c r="Z242" s="430">
        <f t="shared" si="104"/>
        <v>0</v>
      </c>
      <c r="AA242" s="430">
        <f t="shared" si="104"/>
        <v>0</v>
      </c>
      <c r="AB242" s="430">
        <f t="shared" si="104"/>
        <v>0</v>
      </c>
      <c r="AC242" s="430">
        <f t="shared" si="104"/>
        <v>0</v>
      </c>
    </row>
    <row r="243" spans="3:29" ht="15.75">
      <c r="C243" s="427" t="s">
        <v>201</v>
      </c>
      <c r="D243" s="440">
        <f>-SUM(F243:AC243)/1000</f>
        <v>444.82894247600825</v>
      </c>
      <c r="F243" s="430">
        <f t="shared" ref="F243:AC243" si="105">F201*F$189</f>
        <v>0</v>
      </c>
      <c r="G243" s="430">
        <f t="shared" si="105"/>
        <v>0</v>
      </c>
      <c r="H243" s="430">
        <f t="shared" si="105"/>
        <v>-32980.612875003979</v>
      </c>
      <c r="I243" s="430">
        <f t="shared" si="105"/>
        <v>-31589.594020106902</v>
      </c>
      <c r="J243" s="430">
        <f t="shared" si="105"/>
        <v>-30239.425563826349</v>
      </c>
      <c r="K243" s="430">
        <f t="shared" si="105"/>
        <v>-28930.715945917975</v>
      </c>
      <c r="L243" s="430">
        <f t="shared" si="105"/>
        <v>-27663.819163628355</v>
      </c>
      <c r="M243" s="430">
        <f t="shared" si="105"/>
        <v>-26438.865459207555</v>
      </c>
      <c r="N243" s="430">
        <f t="shared" si="105"/>
        <v>-25255.789081208663</v>
      </c>
      <c r="O243" s="430">
        <f t="shared" si="105"/>
        <v>-23781.222302803875</v>
      </c>
      <c r="P243" s="430">
        <f t="shared" si="105"/>
        <v>-22391.49851235186</v>
      </c>
      <c r="Q243" s="430">
        <f t="shared" si="105"/>
        <v>-21081.82768244308</v>
      </c>
      <c r="R243" s="430">
        <f t="shared" si="105"/>
        <v>-19847.683402983974</v>
      </c>
      <c r="S243" s="430">
        <f t="shared" si="105"/>
        <v>-18684.78888980925</v>
      </c>
      <c r="T243" s="430">
        <f t="shared" si="105"/>
        <v>-17589.103695700782</v>
      </c>
      <c r="U243" s="430">
        <f t="shared" si="105"/>
        <v>-16556.811091790041</v>
      </c>
      <c r="V243" s="430">
        <f t="shared" si="105"/>
        <v>-15584.306088505471</v>
      </c>
      <c r="W243" s="430">
        <f t="shared" si="105"/>
        <v>-14668.184066391532</v>
      </c>
      <c r="X243" s="430">
        <f t="shared" si="105"/>
        <v>-13805.229988271823</v>
      </c>
      <c r="Y243" s="430">
        <f t="shared" si="105"/>
        <v>-12992.408165350831</v>
      </c>
      <c r="Z243" s="430">
        <f t="shared" si="105"/>
        <v>-12226.852550946765</v>
      </c>
      <c r="AA243" s="430">
        <f t="shared" si="105"/>
        <v>-11505.85753661914</v>
      </c>
      <c r="AB243" s="430">
        <f t="shared" si="105"/>
        <v>-10826.869226498549</v>
      </c>
      <c r="AC243" s="430">
        <f t="shared" si="105"/>
        <v>-10187.477166641422</v>
      </c>
    </row>
    <row r="244" spans="3:29" ht="15.75">
      <c r="C244" s="426"/>
      <c r="D244" s="441"/>
      <c r="F244" s="438">
        <f>SUM(F240:F243)</f>
        <v>0</v>
      </c>
      <c r="G244" s="438">
        <f t="shared" ref="G244:AC244" si="106">SUM(G240:G243)</f>
        <v>-469130.81875645503</v>
      </c>
      <c r="H244" s="438">
        <f t="shared" si="106"/>
        <v>-32980.612875003979</v>
      </c>
      <c r="I244" s="438">
        <f t="shared" si="106"/>
        <v>-31589.594020106902</v>
      </c>
      <c r="J244" s="438">
        <f t="shared" si="106"/>
        <v>-30239.425563826349</v>
      </c>
      <c r="K244" s="438">
        <f t="shared" si="106"/>
        <v>-28930.715945917975</v>
      </c>
      <c r="L244" s="438">
        <f t="shared" si="106"/>
        <v>-27663.819163628355</v>
      </c>
      <c r="M244" s="438">
        <f t="shared" si="106"/>
        <v>-26438.865459207555</v>
      </c>
      <c r="N244" s="438">
        <f t="shared" si="106"/>
        <v>-25255.789081208663</v>
      </c>
      <c r="O244" s="438">
        <f t="shared" si="106"/>
        <v>-23781.222302803875</v>
      </c>
      <c r="P244" s="438">
        <f t="shared" si="106"/>
        <v>-22391.49851235186</v>
      </c>
      <c r="Q244" s="438">
        <f t="shared" si="106"/>
        <v>-21081.82768244308</v>
      </c>
      <c r="R244" s="438">
        <f t="shared" si="106"/>
        <v>-19847.683402983974</v>
      </c>
      <c r="S244" s="438">
        <f t="shared" si="106"/>
        <v>-18684.78888980925</v>
      </c>
      <c r="T244" s="438">
        <f t="shared" si="106"/>
        <v>-17589.103695700782</v>
      </c>
      <c r="U244" s="438">
        <f t="shared" si="106"/>
        <v>-16556.811091790041</v>
      </c>
      <c r="V244" s="438">
        <f t="shared" si="106"/>
        <v>-15584.306088505471</v>
      </c>
      <c r="W244" s="438">
        <f t="shared" si="106"/>
        <v>-14668.184066391532</v>
      </c>
      <c r="X244" s="438">
        <f t="shared" si="106"/>
        <v>-13805.229988271823</v>
      </c>
      <c r="Y244" s="438">
        <f t="shared" si="106"/>
        <v>-12992.408165350831</v>
      </c>
      <c r="Z244" s="438">
        <f t="shared" si="106"/>
        <v>-12226.852550946765</v>
      </c>
      <c r="AA244" s="438">
        <f t="shared" si="106"/>
        <v>-11505.85753661914</v>
      </c>
      <c r="AB244" s="438">
        <f t="shared" si="106"/>
        <v>-10826.869226498549</v>
      </c>
      <c r="AC244" s="438">
        <f t="shared" si="106"/>
        <v>-10187.477166641422</v>
      </c>
    </row>
    <row r="245" spans="3:29" ht="15.75">
      <c r="C245" s="425" t="s">
        <v>0</v>
      </c>
      <c r="D245" s="442">
        <f>SUM(D246:D252)</f>
        <v>2612.697905414735</v>
      </c>
      <c r="F245" s="430"/>
      <c r="G245" s="430"/>
      <c r="H245" s="430"/>
      <c r="I245" s="430"/>
      <c r="J245" s="430"/>
      <c r="K245" s="430"/>
      <c r="L245" s="430"/>
      <c r="M245" s="430"/>
      <c r="N245" s="430"/>
      <c r="O245" s="430"/>
      <c r="P245" s="430"/>
      <c r="Q245" s="430"/>
      <c r="R245" s="430"/>
      <c r="S245" s="430"/>
      <c r="T245" s="430"/>
      <c r="U245" s="430"/>
      <c r="V245" s="430"/>
      <c r="W245" s="430"/>
      <c r="X245" s="430"/>
      <c r="Y245" s="430"/>
      <c r="Z245" s="430"/>
      <c r="AA245" s="430"/>
      <c r="AB245" s="430"/>
      <c r="AC245" s="430"/>
    </row>
    <row r="246" spans="3:29" ht="15.75">
      <c r="C246" s="427" t="s">
        <v>599</v>
      </c>
      <c r="D246" s="440">
        <f t="shared" ref="D246:D252" si="107">SUM(F246:AC246)/1000</f>
        <v>265.79193257431302</v>
      </c>
      <c r="F246" s="430">
        <f>F204*F$189</f>
        <v>0</v>
      </c>
      <c r="G246" s="430">
        <f t="shared" ref="G246:AC246" si="108">G204*G$189</f>
        <v>0</v>
      </c>
      <c r="H246" s="430">
        <f t="shared" si="108"/>
        <v>17862.586155273642</v>
      </c>
      <c r="I246" s="430">
        <f t="shared" si="108"/>
        <v>17313.524466700001</v>
      </c>
      <c r="J246" s="430">
        <f t="shared" si="108"/>
        <v>16770.476002912335</v>
      </c>
      <c r="K246" s="430">
        <f t="shared" si="108"/>
        <v>16234.412435378088</v>
      </c>
      <c r="L246" s="430">
        <f t="shared" si="108"/>
        <v>15706.1858374659</v>
      </c>
      <c r="M246" s="430">
        <f t="shared" si="108"/>
        <v>15186.538285960989</v>
      </c>
      <c r="N246" s="430">
        <f t="shared" si="108"/>
        <v>14676.110826148593</v>
      </c>
      <c r="O246" s="430">
        <f t="shared" si="108"/>
        <v>13979.62309736643</v>
      </c>
      <c r="P246" s="430">
        <f t="shared" si="108"/>
        <v>13314.760762415897</v>
      </c>
      <c r="Q246" s="430">
        <f t="shared" si="108"/>
        <v>12680.183298540063</v>
      </c>
      <c r="R246" s="430">
        <f t="shared" si="108"/>
        <v>12074.600515354685</v>
      </c>
      <c r="S246" s="430">
        <f t="shared" si="108"/>
        <v>11496.771124279307</v>
      </c>
      <c r="T246" s="430">
        <f t="shared" si="108"/>
        <v>10945.501312944372</v>
      </c>
      <c r="U246" s="430">
        <f t="shared" si="108"/>
        <v>10419.643328138334</v>
      </c>
      <c r="V246" s="430">
        <f t="shared" si="108"/>
        <v>9918.0940704808509</v>
      </c>
      <c r="W246" s="430">
        <f t="shared" si="108"/>
        <v>9439.7937036591429</v>
      </c>
      <c r="X246" s="430">
        <f t="shared" si="108"/>
        <v>8983.724280740289</v>
      </c>
      <c r="Y246" s="430">
        <f t="shared" si="108"/>
        <v>8548.9083897740838</v>
      </c>
      <c r="Z246" s="430">
        <f t="shared" si="108"/>
        <v>8134.407820624434</v>
      </c>
      <c r="AA246" s="430">
        <f t="shared" si="108"/>
        <v>7739.3222547132491</v>
      </c>
      <c r="AB246" s="430">
        <f t="shared" si="108"/>
        <v>7362.7879791263267</v>
      </c>
      <c r="AC246" s="430">
        <f t="shared" si="108"/>
        <v>7003.97662631597</v>
      </c>
    </row>
    <row r="247" spans="3:29" ht="15.75">
      <c r="C247" s="427" t="s">
        <v>600</v>
      </c>
      <c r="D247" s="440">
        <f t="shared" si="107"/>
        <v>1166.9234353602967</v>
      </c>
      <c r="F247" s="430">
        <f t="shared" ref="F247:AC247" si="109">F205*F$189</f>
        <v>0</v>
      </c>
      <c r="G247" s="430">
        <f t="shared" si="109"/>
        <v>0</v>
      </c>
      <c r="H247" s="430">
        <f t="shared" si="109"/>
        <v>86518.313898748645</v>
      </c>
      <c r="I247" s="430">
        <f t="shared" si="109"/>
        <v>82869.242658526913</v>
      </c>
      <c r="J247" s="430">
        <f t="shared" si="109"/>
        <v>79327.334606078206</v>
      </c>
      <c r="K247" s="430">
        <f t="shared" si="109"/>
        <v>75894.185866434171</v>
      </c>
      <c r="L247" s="430">
        <f t="shared" si="109"/>
        <v>72570.725083492769</v>
      </c>
      <c r="M247" s="430">
        <f t="shared" si="109"/>
        <v>69357.293922823315</v>
      </c>
      <c r="N247" s="430">
        <f t="shared" si="109"/>
        <v>66253.719898112584</v>
      </c>
      <c r="O247" s="430">
        <f t="shared" si="109"/>
        <v>62385.476700746709</v>
      </c>
      <c r="P247" s="430">
        <f t="shared" si="109"/>
        <v>58739.802813770104</v>
      </c>
      <c r="Q247" s="430">
        <f t="shared" si="109"/>
        <v>55304.132518753831</v>
      </c>
      <c r="R247" s="430">
        <f t="shared" si="109"/>
        <v>52066.591646749177</v>
      </c>
      <c r="S247" s="430">
        <f t="shared" si="109"/>
        <v>49015.960874564938</v>
      </c>
      <c r="T247" s="430">
        <f t="shared" si="109"/>
        <v>46141.640863673492</v>
      </c>
      <c r="U247" s="430">
        <f t="shared" si="109"/>
        <v>43433.619157739835</v>
      </c>
      <c r="V247" s="430">
        <f t="shared" si="109"/>
        <v>40882.438757873846</v>
      </c>
      <c r="W247" s="430">
        <f t="shared" si="109"/>
        <v>38479.168297764154</v>
      </c>
      <c r="X247" s="430">
        <f t="shared" si="109"/>
        <v>36215.373743856639</v>
      </c>
      <c r="Y247" s="430">
        <f t="shared" si="109"/>
        <v>34083.091548684635</v>
      </c>
      <c r="Z247" s="430">
        <f t="shared" si="109"/>
        <v>32074.803188338272</v>
      </c>
      <c r="AA247" s="430">
        <f t="shared" si="109"/>
        <v>30183.411017869916</v>
      </c>
      <c r="AB247" s="430">
        <f t="shared" si="109"/>
        <v>28402.215381171583</v>
      </c>
      <c r="AC247" s="430">
        <f t="shared" si="109"/>
        <v>26724.892914522905</v>
      </c>
    </row>
    <row r="248" spans="3:29" ht="15.75">
      <c r="C248" s="427" t="s">
        <v>202</v>
      </c>
      <c r="D248" s="440">
        <f t="shared" si="107"/>
        <v>45.517292251815476</v>
      </c>
      <c r="F248" s="430">
        <f t="shared" ref="F248:AC248" si="110">F206*F$189</f>
        <v>0</v>
      </c>
      <c r="G248" s="430">
        <f t="shared" si="110"/>
        <v>0</v>
      </c>
      <c r="H248" s="430">
        <f t="shared" si="110"/>
        <v>2760.1464358625785</v>
      </c>
      <c r="I248" s="430">
        <f t="shared" si="110"/>
        <v>2711.8408441509232</v>
      </c>
      <c r="J248" s="430">
        <f t="shared" si="110"/>
        <v>2661.5834524503416</v>
      </c>
      <c r="K248" s="430">
        <f t="shared" si="110"/>
        <v>2609.6392261363167</v>
      </c>
      <c r="L248" s="430">
        <f t="shared" si="110"/>
        <v>2556.2579063563239</v>
      </c>
      <c r="M248" s="430">
        <f t="shared" si="110"/>
        <v>2501.6742385641974</v>
      </c>
      <c r="N248" s="430">
        <f t="shared" si="110"/>
        <v>2446.1082723032769</v>
      </c>
      <c r="O248" s="430">
        <f t="shared" si="110"/>
        <v>2356.7519709587104</v>
      </c>
      <c r="P248" s="430">
        <f t="shared" si="110"/>
        <v>2269.7207416425099</v>
      </c>
      <c r="Q248" s="430">
        <f t="shared" si="110"/>
        <v>2185.0316396668313</v>
      </c>
      <c r="R248" s="430">
        <f t="shared" si="110"/>
        <v>2102.6929674508083</v>
      </c>
      <c r="S248" s="430">
        <f t="shared" si="110"/>
        <v>2022.7051526777027</v>
      </c>
      <c r="T248" s="430">
        <f t="shared" si="110"/>
        <v>1945.0615600854262</v>
      </c>
      <c r="U248" s="430">
        <f t="shared" si="110"/>
        <v>1869.7492411795051</v>
      </c>
      <c r="V248" s="430">
        <f t="shared" si="110"/>
        <v>1796.7496259172626</v>
      </c>
      <c r="W248" s="430">
        <f t="shared" si="110"/>
        <v>1726.0391601825372</v>
      </c>
      <c r="X248" s="430">
        <f t="shared" si="110"/>
        <v>1657.5898926514544</v>
      </c>
      <c r="Y248" s="430">
        <f t="shared" si="110"/>
        <v>1591.3700144414343</v>
      </c>
      <c r="Z248" s="430">
        <f t="shared" si="110"/>
        <v>1527.3443547373349</v>
      </c>
      <c r="AA248" s="430">
        <f t="shared" si="110"/>
        <v>1465.4748353999935</v>
      </c>
      <c r="AB248" s="430">
        <f t="shared" si="110"/>
        <v>1405.7208873834052</v>
      </c>
      <c r="AC248" s="430">
        <f t="shared" si="110"/>
        <v>1348.039831616602</v>
      </c>
    </row>
    <row r="249" spans="3:29" ht="15.75">
      <c r="C249" s="427" t="s">
        <v>203</v>
      </c>
      <c r="D249" s="440">
        <f t="shared" si="107"/>
        <v>245.44223097875005</v>
      </c>
      <c r="F249" s="430">
        <f t="shared" ref="F249:AC249" si="111">F207*F$189</f>
        <v>0</v>
      </c>
      <c r="G249" s="430">
        <f t="shared" si="111"/>
        <v>0</v>
      </c>
      <c r="H249" s="430">
        <f t="shared" si="111"/>
        <v>18197.636057649412</v>
      </c>
      <c r="I249" s="430">
        <f t="shared" si="111"/>
        <v>17430.116819402327</v>
      </c>
      <c r="J249" s="430">
        <f t="shared" si="111"/>
        <v>16685.137510587439</v>
      </c>
      <c r="K249" s="430">
        <f t="shared" si="111"/>
        <v>15963.033848593583</v>
      </c>
      <c r="L249" s="430">
        <f t="shared" si="111"/>
        <v>15264.001157658155</v>
      </c>
      <c r="M249" s="430">
        <f t="shared" si="111"/>
        <v>14588.111301244549</v>
      </c>
      <c r="N249" s="430">
        <f t="shared" si="111"/>
        <v>13935.327999829831</v>
      </c>
      <c r="O249" s="430">
        <f t="shared" si="111"/>
        <v>13121.709718149927</v>
      </c>
      <c r="P249" s="430">
        <f t="shared" si="111"/>
        <v>12354.90505459954</v>
      </c>
      <c r="Q249" s="430">
        <f t="shared" si="111"/>
        <v>11632.271026895873</v>
      </c>
      <c r="R249" s="430">
        <f t="shared" si="111"/>
        <v>10951.310108269396</v>
      </c>
      <c r="S249" s="430">
        <f t="shared" si="111"/>
        <v>10309.662507468456</v>
      </c>
      <c r="T249" s="430">
        <f t="shared" si="111"/>
        <v>9705.0988363290235</v>
      </c>
      <c r="U249" s="430">
        <f t="shared" si="111"/>
        <v>9135.5131472405028</v>
      </c>
      <c r="V249" s="430">
        <f t="shared" si="111"/>
        <v>8598.9163234917069</v>
      </c>
      <c r="W249" s="430">
        <f t="shared" si="111"/>
        <v>8093.4298061243326</v>
      </c>
      <c r="X249" s="430">
        <f t="shared" si="111"/>
        <v>7617.2796415532939</v>
      </c>
      <c r="Y249" s="430">
        <f t="shared" si="111"/>
        <v>7168.79083483249</v>
      </c>
      <c r="Z249" s="430">
        <f t="shared" si="111"/>
        <v>6746.3819940503363</v>
      </c>
      <c r="AA249" s="430">
        <f t="shared" si="111"/>
        <v>6348.5602519305048</v>
      </c>
      <c r="AB249" s="430">
        <f t="shared" si="111"/>
        <v>5973.9164512891448</v>
      </c>
      <c r="AC249" s="430">
        <f t="shared" si="111"/>
        <v>5621.1205815601943</v>
      </c>
    </row>
    <row r="250" spans="3:29" ht="15.75">
      <c r="C250" s="427" t="s">
        <v>204</v>
      </c>
      <c r="D250" s="440">
        <f t="shared" si="107"/>
        <v>286.60436321112417</v>
      </c>
      <c r="F250" s="430">
        <f t="shared" ref="F250:AC250" si="112">F208*F$189</f>
        <v>0</v>
      </c>
      <c r="G250" s="430">
        <f t="shared" si="112"/>
        <v>0</v>
      </c>
      <c r="H250" s="430">
        <f t="shared" si="112"/>
        <v>26747.986430956236</v>
      </c>
      <c r="I250" s="430">
        <f t="shared" si="112"/>
        <v>24590.477665330469</v>
      </c>
      <c r="J250" s="430">
        <f t="shared" si="112"/>
        <v>22654.10409727841</v>
      </c>
      <c r="K250" s="430">
        <f t="shared" si="112"/>
        <v>20778.430959465604</v>
      </c>
      <c r="L250" s="430">
        <f t="shared" si="112"/>
        <v>18996.661029964474</v>
      </c>
      <c r="M250" s="430">
        <f t="shared" si="112"/>
        <v>17332.433370248404</v>
      </c>
      <c r="N250" s="430">
        <f t="shared" si="112"/>
        <v>15779.783118772039</v>
      </c>
      <c r="O250" s="430">
        <f t="shared" si="112"/>
        <v>14328.187631072469</v>
      </c>
      <c r="P250" s="430">
        <f t="shared" si="112"/>
        <v>13390.428861829756</v>
      </c>
      <c r="Q250" s="430">
        <f t="shared" si="112"/>
        <v>12512.662583752612</v>
      </c>
      <c r="R250" s="430">
        <f t="shared" si="112"/>
        <v>11691.143223684921</v>
      </c>
      <c r="S250" s="430">
        <f t="shared" si="112"/>
        <v>10922.352605839671</v>
      </c>
      <c r="T250" s="430">
        <f t="shared" si="112"/>
        <v>10202.986616769205</v>
      </c>
      <c r="U250" s="430">
        <f t="shared" si="112"/>
        <v>9529.9426165174973</v>
      </c>
      <c r="V250" s="430">
        <f t="shared" si="112"/>
        <v>8900.3075570556557</v>
      </c>
      <c r="W250" s="430">
        <f t="shared" si="112"/>
        <v>8311.3467708890985</v>
      </c>
      <c r="X250" s="430">
        <f t="shared" si="112"/>
        <v>7760.4933944519244</v>
      </c>
      <c r="Y250" s="430">
        <f t="shared" si="112"/>
        <v>7245.338392570472</v>
      </c>
      <c r="Z250" s="430">
        <f t="shared" si="112"/>
        <v>6815.6730989572516</v>
      </c>
      <c r="AA250" s="430">
        <f t="shared" si="112"/>
        <v>6411.1858083506741</v>
      </c>
      <c r="AB250" s="430">
        <f t="shared" si="112"/>
        <v>6030.423193624757</v>
      </c>
      <c r="AC250" s="430">
        <f t="shared" si="112"/>
        <v>5672.0141837425026</v>
      </c>
    </row>
    <row r="251" spans="3:29" ht="15.75">
      <c r="C251" s="427" t="s">
        <v>601</v>
      </c>
      <c r="D251" s="440">
        <f t="shared" si="107"/>
        <v>0.19122802994297386</v>
      </c>
      <c r="F251" s="430">
        <f t="shared" ref="F251:AC251" si="113">F209*F$189</f>
        <v>0</v>
      </c>
      <c r="G251" s="430">
        <f t="shared" si="113"/>
        <v>0</v>
      </c>
      <c r="H251" s="430">
        <f t="shared" si="113"/>
        <v>14.178073915995355</v>
      </c>
      <c r="I251" s="430">
        <f t="shared" si="113"/>
        <v>13.580087207318353</v>
      </c>
      <c r="J251" s="430">
        <f t="shared" si="113"/>
        <v>12.999661723876253</v>
      </c>
      <c r="K251" s="430">
        <f t="shared" si="113"/>
        <v>12.437059028541206</v>
      </c>
      <c r="L251" s="430">
        <f t="shared" si="113"/>
        <v>11.892431301600071</v>
      </c>
      <c r="M251" s="430">
        <f t="shared" si="113"/>
        <v>11.365834533044767</v>
      </c>
      <c r="N251" s="430">
        <f t="shared" si="113"/>
        <v>10.85724045690954</v>
      </c>
      <c r="O251" s="430">
        <f t="shared" si="113"/>
        <v>10.223337234506438</v>
      </c>
      <c r="P251" s="430">
        <f t="shared" si="113"/>
        <v>9.6259072625855904</v>
      </c>
      <c r="Q251" s="430">
        <f t="shared" si="113"/>
        <v>9.0628913507089894</v>
      </c>
      <c r="R251" s="430">
        <f t="shared" si="113"/>
        <v>8.5323436351922854</v>
      </c>
      <c r="S251" s="430">
        <f t="shared" si="113"/>
        <v>8.0324255643309481</v>
      </c>
      <c r="T251" s="430">
        <f t="shared" si="113"/>
        <v>7.5614001855847164</v>
      </c>
      <c r="U251" s="430">
        <f t="shared" si="113"/>
        <v>7.117626720954096</v>
      </c>
      <c r="V251" s="430">
        <f t="shared" si="113"/>
        <v>6.6995554172915117</v>
      </c>
      <c r="W251" s="430">
        <f t="shared" si="113"/>
        <v>6.3057226587909296</v>
      </c>
      <c r="X251" s="430">
        <f t="shared" si="113"/>
        <v>5.9347463293921567</v>
      </c>
      <c r="Y251" s="430">
        <f t="shared" si="113"/>
        <v>5.5853214133184439</v>
      </c>
      <c r="Z251" s="430">
        <f t="shared" si="113"/>
        <v>5.2562158224380395</v>
      </c>
      <c r="AA251" s="430">
        <f t="shared" si="113"/>
        <v>4.9462664396008051</v>
      </c>
      <c r="AB251" s="430">
        <f t="shared" si="113"/>
        <v>4.6543753675497275</v>
      </c>
      <c r="AC251" s="430">
        <f t="shared" si="113"/>
        <v>4.3795063734436299</v>
      </c>
    </row>
    <row r="252" spans="3:29" ht="15.75">
      <c r="C252" s="427" t="s">
        <v>205</v>
      </c>
      <c r="D252" s="440">
        <f t="shared" si="107"/>
        <v>602.22742300849245</v>
      </c>
      <c r="F252" s="430">
        <f t="shared" ref="F252:AC252" si="114">F210*F$189</f>
        <v>0</v>
      </c>
      <c r="G252" s="430">
        <f t="shared" si="114"/>
        <v>0</v>
      </c>
      <c r="H252" s="430">
        <f t="shared" si="114"/>
        <v>44650.488321194614</v>
      </c>
      <c r="I252" s="430">
        <f t="shared" si="114"/>
        <v>42767.270705726449</v>
      </c>
      <c r="J252" s="430">
        <f t="shared" si="114"/>
        <v>40939.35801297929</v>
      </c>
      <c r="K252" s="430">
        <f t="shared" si="114"/>
        <v>39167.573973315782</v>
      </c>
      <c r="L252" s="430">
        <f t="shared" si="114"/>
        <v>37452.397842533377</v>
      </c>
      <c r="M252" s="430">
        <f t="shared" si="114"/>
        <v>35794.005947860664</v>
      </c>
      <c r="N252" s="430">
        <f t="shared" si="114"/>
        <v>34192.309272328093</v>
      </c>
      <c r="O252" s="430">
        <f t="shared" si="114"/>
        <v>32195.981097120504</v>
      </c>
      <c r="P252" s="430">
        <f t="shared" si="114"/>
        <v>30314.516792304832</v>
      </c>
      <c r="Q252" s="430">
        <f t="shared" si="114"/>
        <v>28541.431424938259</v>
      </c>
      <c r="R252" s="430">
        <f t="shared" si="114"/>
        <v>26870.596957867991</v>
      </c>
      <c r="S252" s="430">
        <f t="shared" si="114"/>
        <v>25296.223307624448</v>
      </c>
      <c r="T252" s="430">
        <f t="shared" si="114"/>
        <v>23812.840353260839</v>
      </c>
      <c r="U252" s="430">
        <f t="shared" si="114"/>
        <v>22415.280852785167</v>
      </c>
      <c r="V252" s="430">
        <f t="shared" si="114"/>
        <v>21098.664225434033</v>
      </c>
      <c r="W252" s="430">
        <f t="shared" si="114"/>
        <v>19858.381159615394</v>
      </c>
      <c r="X252" s="430">
        <f t="shared" si="114"/>
        <v>18690.079007898432</v>
      </c>
      <c r="Y252" s="430">
        <f t="shared" si="114"/>
        <v>17589.64793194798</v>
      </c>
      <c r="Z252" s="430">
        <f t="shared" si="114"/>
        <v>16553.207761787271</v>
      </c>
      <c r="AA252" s="430">
        <f t="shared" si="114"/>
        <v>15577.095535222978</v>
      </c>
      <c r="AB252" s="430">
        <f t="shared" si="114"/>
        <v>14657.853684679792</v>
      </c>
      <c r="AC252" s="430">
        <f t="shared" si="114"/>
        <v>13792.218840066189</v>
      </c>
    </row>
    <row r="253" spans="3:29" ht="15.75">
      <c r="C253" s="426"/>
      <c r="D253" s="441"/>
      <c r="F253" s="437">
        <f>SUM(F246:F252)</f>
        <v>0</v>
      </c>
      <c r="G253" s="437">
        <f t="shared" ref="G253:AC253" si="115">SUM(G246:G252)</f>
        <v>0</v>
      </c>
      <c r="H253" s="437">
        <f t="shared" si="115"/>
        <v>196751.33537360112</v>
      </c>
      <c r="I253" s="437">
        <f t="shared" si="115"/>
        <v>187696.05324704439</v>
      </c>
      <c r="J253" s="437">
        <f t="shared" si="115"/>
        <v>179050.99334400991</v>
      </c>
      <c r="K253" s="437">
        <f t="shared" si="115"/>
        <v>170659.7133683521</v>
      </c>
      <c r="L253" s="437">
        <f t="shared" si="115"/>
        <v>162558.12128877261</v>
      </c>
      <c r="M253" s="437">
        <f t="shared" si="115"/>
        <v>154771.42290123514</v>
      </c>
      <c r="N253" s="437">
        <f t="shared" si="115"/>
        <v>147294.21662795133</v>
      </c>
      <c r="O253" s="437">
        <f t="shared" si="115"/>
        <v>138377.95355264927</v>
      </c>
      <c r="P253" s="437">
        <f t="shared" si="115"/>
        <v>130393.76093382522</v>
      </c>
      <c r="Q253" s="437">
        <f t="shared" si="115"/>
        <v>122864.77538389819</v>
      </c>
      <c r="R253" s="437">
        <f t="shared" si="115"/>
        <v>115765.46776301217</v>
      </c>
      <c r="S253" s="437">
        <f t="shared" si="115"/>
        <v>109071.70799801884</v>
      </c>
      <c r="T253" s="437">
        <f t="shared" si="115"/>
        <v>102760.69094324796</v>
      </c>
      <c r="U253" s="437">
        <f t="shared" si="115"/>
        <v>96810.865970321785</v>
      </c>
      <c r="V253" s="437">
        <f t="shared" si="115"/>
        <v>91201.870115670637</v>
      </c>
      <c r="W253" s="437">
        <f t="shared" si="115"/>
        <v>85914.464620893443</v>
      </c>
      <c r="X253" s="437">
        <f t="shared" si="115"/>
        <v>80930.474707481422</v>
      </c>
      <c r="Y253" s="437">
        <f t="shared" si="115"/>
        <v>76232.732433664409</v>
      </c>
      <c r="Z253" s="437">
        <f t="shared" si="115"/>
        <v>71857.074434317343</v>
      </c>
      <c r="AA253" s="437">
        <f t="shared" si="115"/>
        <v>67729.995969926909</v>
      </c>
      <c r="AB253" s="437">
        <f t="shared" si="115"/>
        <v>63837.57195264256</v>
      </c>
      <c r="AC253" s="437">
        <f t="shared" si="115"/>
        <v>60166.642484197808</v>
      </c>
    </row>
    <row r="254" spans="3:29" ht="15.75">
      <c r="C254" s="425" t="s">
        <v>184</v>
      </c>
      <c r="D254" s="442">
        <f>NPV(0.07,F213:AC213)/1000</f>
        <v>1698.7381441822713</v>
      </c>
    </row>
    <row r="255" spans="3:29" ht="15.75">
      <c r="C255" s="425" t="s">
        <v>185</v>
      </c>
      <c r="D255" s="443">
        <f>IRR(F255:AC255)</f>
        <v>0.29969846228138952</v>
      </c>
      <c r="F255" s="430">
        <f>F244+F253</f>
        <v>0</v>
      </c>
      <c r="G255" s="430">
        <f t="shared" ref="G255:AC255" si="116">G244+G253</f>
        <v>-469130.81875645503</v>
      </c>
      <c r="H255" s="430">
        <f t="shared" si="116"/>
        <v>163770.72249859714</v>
      </c>
      <c r="I255" s="430">
        <f t="shared" si="116"/>
        <v>156106.4592269375</v>
      </c>
      <c r="J255" s="430">
        <f t="shared" si="116"/>
        <v>148811.56778018357</v>
      </c>
      <c r="K255" s="430">
        <f t="shared" si="116"/>
        <v>141728.99742243413</v>
      </c>
      <c r="L255" s="430">
        <f t="shared" si="116"/>
        <v>134894.30212514426</v>
      </c>
      <c r="M255" s="430">
        <f t="shared" si="116"/>
        <v>128332.55744202758</v>
      </c>
      <c r="N255" s="430">
        <f t="shared" si="116"/>
        <v>122038.42754674266</v>
      </c>
      <c r="O255" s="430">
        <f t="shared" si="116"/>
        <v>114596.7312498454</v>
      </c>
      <c r="P255" s="430">
        <f t="shared" si="116"/>
        <v>108002.26242147337</v>
      </c>
      <c r="Q255" s="430">
        <f t="shared" si="116"/>
        <v>101782.94770145511</v>
      </c>
      <c r="R255" s="430">
        <f t="shared" si="116"/>
        <v>95917.784360028192</v>
      </c>
      <c r="S255" s="430">
        <f t="shared" si="116"/>
        <v>90386.919108209593</v>
      </c>
      <c r="T255" s="430">
        <f t="shared" si="116"/>
        <v>85171.58724754717</v>
      </c>
      <c r="U255" s="430">
        <f t="shared" si="116"/>
        <v>80254.054878531751</v>
      </c>
      <c r="V255" s="430">
        <f t="shared" si="116"/>
        <v>75617.564027165165</v>
      </c>
      <c r="W255" s="430">
        <f t="shared" si="116"/>
        <v>71246.280554501907</v>
      </c>
      <c r="X255" s="430">
        <f t="shared" si="116"/>
        <v>67125.244719209601</v>
      </c>
      <c r="Y255" s="430">
        <f t="shared" si="116"/>
        <v>63240.324268313576</v>
      </c>
      <c r="Z255" s="430">
        <f t="shared" si="116"/>
        <v>59630.221883370577</v>
      </c>
      <c r="AA255" s="430">
        <f t="shared" si="116"/>
        <v>56224.138433307773</v>
      </c>
      <c r="AB255" s="430">
        <f t="shared" si="116"/>
        <v>53010.702726144009</v>
      </c>
      <c r="AC255" s="430">
        <f t="shared" si="116"/>
        <v>49979.165317556384</v>
      </c>
    </row>
    <row r="256" spans="3:29" ht="15.75">
      <c r="C256" s="425" t="s">
        <v>186</v>
      </c>
      <c r="D256" s="444">
        <f>SUM(D246:D252)/SUM(D240:D243)</f>
        <v>2.8586574773177591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Z100"/>
  <sheetViews>
    <sheetView topLeftCell="A13" zoomScale="75" zoomScaleNormal="75" workbookViewId="0">
      <selection activeCell="C9" sqref="C9"/>
    </sheetView>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5703125" bestFit="1"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406</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245</v>
      </c>
      <c r="X3" s="72" t="s">
        <v>246</v>
      </c>
      <c r="Y3" s="72" t="s">
        <v>247</v>
      </c>
      <c r="Z3" s="72" t="s">
        <v>248</v>
      </c>
    </row>
    <row r="4" spans="1:26">
      <c r="A4" s="5" t="s">
        <v>367</v>
      </c>
      <c r="B4" s="53"/>
      <c r="G4"/>
      <c r="I4"/>
    </row>
    <row r="5" spans="1:26">
      <c r="A5" s="70" t="s">
        <v>366</v>
      </c>
      <c r="B5" s="70" t="s">
        <v>366</v>
      </c>
      <c r="C5" s="34">
        <v>0</v>
      </c>
      <c r="D5" s="34">
        <v>0</v>
      </c>
      <c r="E5" s="34">
        <f t="shared" ref="E5:Z5" si="0">E66</f>
        <v>553940.71652026684</v>
      </c>
      <c r="F5" s="34">
        <f t="shared" si="0"/>
        <v>567717.64009573031</v>
      </c>
      <c r="G5" s="34">
        <f t="shared" si="0"/>
        <v>581494.56367119378</v>
      </c>
      <c r="H5" s="34">
        <f t="shared" si="0"/>
        <v>595271.48724665737</v>
      </c>
      <c r="I5" s="34">
        <f t="shared" si="0"/>
        <v>609048.41082212073</v>
      </c>
      <c r="J5" s="34">
        <f t="shared" si="0"/>
        <v>622825.33439758432</v>
      </c>
      <c r="K5" s="34">
        <f t="shared" si="0"/>
        <v>636602.25797304779</v>
      </c>
      <c r="L5" s="34">
        <f t="shared" si="0"/>
        <v>641394.42843420361</v>
      </c>
      <c r="M5" s="34">
        <f t="shared" si="0"/>
        <v>646186.59889535944</v>
      </c>
      <c r="N5" s="34">
        <f t="shared" si="0"/>
        <v>650978.76935651503</v>
      </c>
      <c r="O5" s="34">
        <f t="shared" si="0"/>
        <v>655770.93981767097</v>
      </c>
      <c r="P5" s="34">
        <f t="shared" si="0"/>
        <v>660563.11027882667</v>
      </c>
      <c r="Q5" s="34">
        <f t="shared" si="0"/>
        <v>665355.28073998238</v>
      </c>
      <c r="R5" s="34">
        <f t="shared" si="0"/>
        <v>670147.45120113809</v>
      </c>
      <c r="S5" s="34">
        <f t="shared" si="0"/>
        <v>674939.62166229379</v>
      </c>
      <c r="T5" s="34">
        <f t="shared" si="0"/>
        <v>679731.7921234495</v>
      </c>
      <c r="U5" s="34">
        <f t="shared" si="0"/>
        <v>684523.96258460544</v>
      </c>
      <c r="V5" s="34">
        <f t="shared" si="0"/>
        <v>689316.13304576115</v>
      </c>
      <c r="W5" s="34">
        <f t="shared" si="0"/>
        <v>694108.30350691685</v>
      </c>
      <c r="X5" s="34">
        <f t="shared" si="0"/>
        <v>698900.47396807268</v>
      </c>
      <c r="Y5" s="34">
        <f t="shared" si="0"/>
        <v>703692.6444292285</v>
      </c>
      <c r="Z5" s="34">
        <f t="shared" si="0"/>
        <v>708484.81489038432</v>
      </c>
    </row>
    <row r="6" spans="1:26">
      <c r="A6" s="70" t="s">
        <v>424</v>
      </c>
      <c r="B6" s="54" t="s">
        <v>425</v>
      </c>
      <c r="C6">
        <f>C68</f>
        <v>0</v>
      </c>
      <c r="D6" s="34">
        <f t="shared" ref="D6:Z7" si="1">D68</f>
        <v>0</v>
      </c>
      <c r="E6" s="34">
        <f t="shared" si="1"/>
        <v>16618.221495608006</v>
      </c>
      <c r="F6" s="34">
        <f t="shared" si="1"/>
        <v>17031.529202871909</v>
      </c>
      <c r="G6" s="34">
        <f t="shared" si="1"/>
        <v>17444.836910135811</v>
      </c>
      <c r="H6" s="34">
        <f t="shared" si="1"/>
        <v>17858.144617399721</v>
      </c>
      <c r="I6" s="34">
        <f t="shared" si="1"/>
        <v>18271.45232466362</v>
      </c>
      <c r="J6" s="34">
        <f t="shared" si="1"/>
        <v>18684.76003192753</v>
      </c>
      <c r="K6" s="34">
        <f t="shared" si="1"/>
        <v>19098.067739191432</v>
      </c>
      <c r="L6" s="34">
        <f t="shared" si="1"/>
        <v>19241.832853026106</v>
      </c>
      <c r="M6" s="34">
        <f t="shared" si="1"/>
        <v>19385.597966860783</v>
      </c>
      <c r="N6" s="34">
        <f t="shared" si="1"/>
        <v>19529.36308069545</v>
      </c>
      <c r="O6" s="34">
        <f t="shared" si="1"/>
        <v>19673.128194530127</v>
      </c>
      <c r="P6" s="34">
        <f t="shared" si="1"/>
        <v>19816.893308364801</v>
      </c>
      <c r="Q6" s="34">
        <f t="shared" si="1"/>
        <v>19960.658422199471</v>
      </c>
      <c r="R6" s="34">
        <f t="shared" si="1"/>
        <v>20104.423536034141</v>
      </c>
      <c r="S6" s="34">
        <f t="shared" si="1"/>
        <v>20248.188649868815</v>
      </c>
      <c r="T6" s="34">
        <f t="shared" si="1"/>
        <v>20391.953763703485</v>
      </c>
      <c r="U6" s="34">
        <f t="shared" si="1"/>
        <v>20535.718877538162</v>
      </c>
      <c r="V6" s="34">
        <f t="shared" si="1"/>
        <v>20679.483991372832</v>
      </c>
      <c r="W6" s="34">
        <f t="shared" si="1"/>
        <v>20823.249105207506</v>
      </c>
      <c r="X6" s="34">
        <f t="shared" si="1"/>
        <v>20967.014219042179</v>
      </c>
      <c r="Y6" s="34">
        <f t="shared" si="1"/>
        <v>21110.779332876853</v>
      </c>
      <c r="Z6" s="34">
        <f t="shared" si="1"/>
        <v>21254.54444671153</v>
      </c>
    </row>
    <row r="7" spans="1:26">
      <c r="A7" s="70"/>
      <c r="B7" s="78" t="s">
        <v>418</v>
      </c>
      <c r="C7">
        <f>C69</f>
        <v>0</v>
      </c>
      <c r="D7" s="34">
        <f t="shared" si="1"/>
        <v>0</v>
      </c>
      <c r="E7" s="34">
        <f t="shared" si="1"/>
        <v>11078.814330405337</v>
      </c>
      <c r="F7" s="34">
        <f t="shared" si="1"/>
        <v>11354.352801914607</v>
      </c>
      <c r="G7" s="34">
        <f t="shared" si="1"/>
        <v>11629.891273423877</v>
      </c>
      <c r="H7" s="34">
        <f t="shared" si="1"/>
        <v>11905.429744933148</v>
      </c>
      <c r="I7" s="34">
        <f t="shared" si="1"/>
        <v>12180.968216442414</v>
      </c>
      <c r="J7" s="34">
        <f t="shared" si="1"/>
        <v>12456.506687951687</v>
      </c>
      <c r="K7" s="34">
        <f t="shared" si="1"/>
        <v>12732.045159460957</v>
      </c>
      <c r="L7" s="34">
        <f t="shared" si="1"/>
        <v>12827.888568684073</v>
      </c>
      <c r="M7" s="34">
        <f t="shared" si="1"/>
        <v>12923.73197790719</v>
      </c>
      <c r="N7" s="34">
        <f t="shared" si="1"/>
        <v>13019.5753871303</v>
      </c>
      <c r="O7" s="34">
        <f t="shared" si="1"/>
        <v>13115.41879635342</v>
      </c>
      <c r="P7" s="34">
        <f t="shared" si="1"/>
        <v>13211.262205576533</v>
      </c>
      <c r="Q7" s="34">
        <f t="shared" si="1"/>
        <v>13307.105614799648</v>
      </c>
      <c r="R7" s="34">
        <f t="shared" si="1"/>
        <v>13402.949024022762</v>
      </c>
      <c r="S7" s="34">
        <f t="shared" si="1"/>
        <v>13498.792433245877</v>
      </c>
      <c r="T7" s="34">
        <f t="shared" si="1"/>
        <v>13594.63584246899</v>
      </c>
      <c r="U7" s="34">
        <f t="shared" si="1"/>
        <v>13690.47925169211</v>
      </c>
      <c r="V7" s="34">
        <f t="shared" si="1"/>
        <v>13786.322660915223</v>
      </c>
      <c r="W7" s="34">
        <f t="shared" si="1"/>
        <v>13882.166070138337</v>
      </c>
      <c r="X7" s="34">
        <f t="shared" si="1"/>
        <v>13978.009479361453</v>
      </c>
      <c r="Y7" s="34">
        <f t="shared" si="1"/>
        <v>14073.85288858457</v>
      </c>
      <c r="Z7" s="34">
        <f t="shared" si="1"/>
        <v>14169.696297807686</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277</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366</v>
      </c>
      <c r="B11" s="70" t="s">
        <v>366</v>
      </c>
      <c r="C11" s="208">
        <v>0</v>
      </c>
      <c r="D11" s="34">
        <v>0</v>
      </c>
      <c r="E11" s="34">
        <f t="shared" ref="E11:Z11" si="2">E73</f>
        <v>31919.85490665726</v>
      </c>
      <c r="F11" s="34">
        <f t="shared" si="2"/>
        <v>32713.72578213895</v>
      </c>
      <c r="G11" s="34">
        <f t="shared" si="2"/>
        <v>33507.596657620641</v>
      </c>
      <c r="H11" s="34">
        <f t="shared" si="2"/>
        <v>34301.467533102339</v>
      </c>
      <c r="I11" s="34">
        <f t="shared" si="2"/>
        <v>35095.338408584023</v>
      </c>
      <c r="J11" s="34">
        <f t="shared" si="2"/>
        <v>35889.209284065721</v>
      </c>
      <c r="K11" s="34">
        <f t="shared" si="2"/>
        <v>36683.080159547419</v>
      </c>
      <c r="L11" s="34">
        <f t="shared" si="2"/>
        <v>36959.220514004395</v>
      </c>
      <c r="M11" s="34">
        <f t="shared" si="2"/>
        <v>37235.360868461386</v>
      </c>
      <c r="N11" s="34">
        <f t="shared" si="2"/>
        <v>37511.501222918363</v>
      </c>
      <c r="O11" s="34">
        <f t="shared" si="2"/>
        <v>37787.64157737534</v>
      </c>
      <c r="P11" s="34">
        <f t="shared" si="2"/>
        <v>38063.781931832324</v>
      </c>
      <c r="Q11" s="34">
        <f t="shared" si="2"/>
        <v>38339.922286289308</v>
      </c>
      <c r="R11" s="34">
        <f t="shared" si="2"/>
        <v>38616.062640746284</v>
      </c>
      <c r="S11" s="34">
        <f t="shared" si="2"/>
        <v>38892.202995203268</v>
      </c>
      <c r="T11" s="34">
        <f t="shared" si="2"/>
        <v>39168.343349660245</v>
      </c>
      <c r="U11" s="34">
        <f t="shared" si="2"/>
        <v>39444.483704117229</v>
      </c>
      <c r="V11" s="34">
        <f t="shared" si="2"/>
        <v>39720.624058574213</v>
      </c>
      <c r="W11" s="34">
        <f t="shared" si="2"/>
        <v>39996.764413031189</v>
      </c>
      <c r="X11" s="34">
        <f t="shared" si="2"/>
        <v>40272.904767488173</v>
      </c>
      <c r="Y11" s="34">
        <f t="shared" si="2"/>
        <v>40549.045121945157</v>
      </c>
      <c r="Z11" s="34">
        <f t="shared" si="2"/>
        <v>40825.185476402134</v>
      </c>
    </row>
    <row r="12" spans="1:26">
      <c r="A12" s="70" t="s">
        <v>415</v>
      </c>
      <c r="B12" s="54" t="s">
        <v>433</v>
      </c>
      <c r="C12">
        <f>C75</f>
        <v>0</v>
      </c>
      <c r="D12" s="34">
        <f t="shared" ref="D12:Z13" si="3">D75</f>
        <v>0</v>
      </c>
      <c r="E12" s="34">
        <f t="shared" si="3"/>
        <v>957.59564719971775</v>
      </c>
      <c r="F12" s="34">
        <f t="shared" si="3"/>
        <v>981.4117734641685</v>
      </c>
      <c r="G12" s="34">
        <f t="shared" si="3"/>
        <v>1005.2278997286191</v>
      </c>
      <c r="H12" s="34">
        <f t="shared" si="3"/>
        <v>1029.0440259930701</v>
      </c>
      <c r="I12" s="34">
        <f t="shared" si="3"/>
        <v>1052.8601522575207</v>
      </c>
      <c r="J12" s="34">
        <f t="shared" si="3"/>
        <v>1076.6762785219717</v>
      </c>
      <c r="K12" s="34">
        <f t="shared" si="3"/>
        <v>1100.4924047864224</v>
      </c>
      <c r="L12" s="34">
        <f t="shared" si="3"/>
        <v>1108.7766154201317</v>
      </c>
      <c r="M12" s="34">
        <f t="shared" si="3"/>
        <v>1117.0608260538415</v>
      </c>
      <c r="N12" s="34">
        <f t="shared" si="3"/>
        <v>1125.3450366875509</v>
      </c>
      <c r="O12" s="34">
        <f t="shared" si="3"/>
        <v>1133.6292473212602</v>
      </c>
      <c r="P12" s="34">
        <f t="shared" si="3"/>
        <v>1141.9134579549698</v>
      </c>
      <c r="Q12" s="34">
        <f t="shared" si="3"/>
        <v>1150.1976685886791</v>
      </c>
      <c r="R12" s="34">
        <f t="shared" si="3"/>
        <v>1158.4818792223884</v>
      </c>
      <c r="S12" s="34">
        <f t="shared" si="3"/>
        <v>1166.766089856098</v>
      </c>
      <c r="T12" s="34">
        <f t="shared" si="3"/>
        <v>1175.0503004898073</v>
      </c>
      <c r="U12" s="34">
        <f t="shared" si="3"/>
        <v>1183.3345111235169</v>
      </c>
      <c r="V12" s="34">
        <f t="shared" si="3"/>
        <v>1191.6187217572262</v>
      </c>
      <c r="W12" s="34">
        <f t="shared" si="3"/>
        <v>1199.9029323909356</v>
      </c>
      <c r="X12" s="34">
        <f t="shared" si="3"/>
        <v>1208.1871430246451</v>
      </c>
      <c r="Y12" s="34">
        <f t="shared" si="3"/>
        <v>1216.4713536583547</v>
      </c>
      <c r="Z12" s="34">
        <f t="shared" si="3"/>
        <v>1224.755564292064</v>
      </c>
    </row>
    <row r="13" spans="1:26">
      <c r="A13" s="70"/>
      <c r="B13" s="78" t="s">
        <v>427</v>
      </c>
      <c r="C13">
        <f>C76</f>
        <v>0</v>
      </c>
      <c r="D13" s="34">
        <f t="shared" si="3"/>
        <v>0</v>
      </c>
      <c r="E13" s="34">
        <f t="shared" si="3"/>
        <v>638.39709813314516</v>
      </c>
      <c r="F13" s="34">
        <f t="shared" si="3"/>
        <v>654.27451564277897</v>
      </c>
      <c r="G13" s="34">
        <f t="shared" si="3"/>
        <v>670.15193315241288</v>
      </c>
      <c r="H13" s="34">
        <f t="shared" si="3"/>
        <v>686.0293506620468</v>
      </c>
      <c r="I13" s="34">
        <f t="shared" si="3"/>
        <v>701.90676817168048</v>
      </c>
      <c r="J13" s="34">
        <f t="shared" si="3"/>
        <v>717.7841856813144</v>
      </c>
      <c r="K13" s="34">
        <f t="shared" si="3"/>
        <v>733.66160319094843</v>
      </c>
      <c r="L13" s="34">
        <f t="shared" si="3"/>
        <v>739.18441028008795</v>
      </c>
      <c r="M13" s="34">
        <f t="shared" si="3"/>
        <v>744.70721736922769</v>
      </c>
      <c r="N13" s="34">
        <f t="shared" si="3"/>
        <v>750.23002445836732</v>
      </c>
      <c r="O13" s="34">
        <f t="shared" si="3"/>
        <v>755.75283154750684</v>
      </c>
      <c r="P13" s="34">
        <f t="shared" si="3"/>
        <v>761.27563863664648</v>
      </c>
      <c r="Q13" s="34">
        <f t="shared" si="3"/>
        <v>766.79844572578622</v>
      </c>
      <c r="R13" s="34">
        <f t="shared" si="3"/>
        <v>772.32125281492574</v>
      </c>
      <c r="S13" s="34">
        <f t="shared" si="3"/>
        <v>777.84405990406538</v>
      </c>
      <c r="T13" s="34">
        <f t="shared" si="3"/>
        <v>783.36686699320489</v>
      </c>
      <c r="U13" s="34">
        <f t="shared" si="3"/>
        <v>788.88967408234464</v>
      </c>
      <c r="V13" s="34">
        <f t="shared" si="3"/>
        <v>794.41248117148427</v>
      </c>
      <c r="W13" s="34">
        <f t="shared" si="3"/>
        <v>799.93528826062379</v>
      </c>
      <c r="X13" s="34">
        <f t="shared" si="3"/>
        <v>805.45809534976343</v>
      </c>
      <c r="Y13" s="34">
        <f t="shared" si="3"/>
        <v>810.98090243890317</v>
      </c>
      <c r="Z13" s="34">
        <f t="shared" si="3"/>
        <v>816.50370952804269</v>
      </c>
    </row>
    <row r="14" spans="1:26">
      <c r="A14" s="70"/>
      <c r="B14" s="48"/>
      <c r="G14"/>
      <c r="I14"/>
    </row>
    <row r="15" spans="1:26">
      <c r="A15" s="70"/>
      <c r="B15" s="53"/>
      <c r="G15"/>
      <c r="I15"/>
    </row>
    <row r="16" spans="1:26">
      <c r="A16" s="5" t="s">
        <v>369</v>
      </c>
      <c r="B16" s="53"/>
      <c r="G16"/>
      <c r="I16"/>
    </row>
    <row r="17" spans="1:26">
      <c r="A17" s="5"/>
      <c r="B17" s="270" t="s">
        <v>606</v>
      </c>
      <c r="C17" s="208">
        <v>0</v>
      </c>
      <c r="E17" s="34">
        <f t="shared" ref="E17:Z17" si="4">SUM(E55:E58)*$B$66</f>
        <v>1312831.5252735023</v>
      </c>
      <c r="F17" s="34">
        <f t="shared" si="4"/>
        <v>1345482.6358558214</v>
      </c>
      <c r="G17" s="34">
        <f t="shared" si="4"/>
        <v>1378133.7464381405</v>
      </c>
      <c r="H17" s="34">
        <f t="shared" si="4"/>
        <v>1410784.8570204594</v>
      </c>
      <c r="I17" s="34">
        <f t="shared" si="4"/>
        <v>1443435.967602778</v>
      </c>
      <c r="J17" s="34">
        <f t="shared" si="4"/>
        <v>1476087.0781850973</v>
      </c>
      <c r="K17" s="34">
        <f t="shared" si="4"/>
        <v>1508738.1887674164</v>
      </c>
      <c r="L17" s="34">
        <f t="shared" si="4"/>
        <v>1520095.5637865525</v>
      </c>
      <c r="M17" s="34">
        <f t="shared" si="4"/>
        <v>1531452.9388056889</v>
      </c>
      <c r="N17" s="34">
        <f t="shared" si="4"/>
        <v>1542810.313824825</v>
      </c>
      <c r="O17" s="34">
        <f t="shared" si="4"/>
        <v>1554167.6888439613</v>
      </c>
      <c r="P17" s="34">
        <f t="shared" si="4"/>
        <v>1565525.0638630977</v>
      </c>
      <c r="Q17" s="34">
        <f t="shared" si="4"/>
        <v>1576882.438882234</v>
      </c>
      <c r="R17" s="34">
        <f t="shared" si="4"/>
        <v>1588239.8139013702</v>
      </c>
      <c r="S17" s="34">
        <f t="shared" si="4"/>
        <v>1599597.1889205063</v>
      </c>
      <c r="T17" s="34">
        <f t="shared" si="4"/>
        <v>1610954.5639396424</v>
      </c>
      <c r="U17" s="34">
        <f t="shared" si="4"/>
        <v>1622311.9389587787</v>
      </c>
      <c r="V17" s="34">
        <f t="shared" si="4"/>
        <v>1633669.3139779153</v>
      </c>
      <c r="W17" s="34">
        <f t="shared" si="4"/>
        <v>1645026.6889970512</v>
      </c>
      <c r="X17" s="34">
        <f t="shared" si="4"/>
        <v>1656384.064016188</v>
      </c>
      <c r="Y17" s="34">
        <f t="shared" si="4"/>
        <v>1667741.4390353244</v>
      </c>
      <c r="Z17" s="34">
        <f t="shared" si="4"/>
        <v>1679098.8140544607</v>
      </c>
    </row>
    <row r="18" spans="1:26">
      <c r="A18" s="70" t="s">
        <v>370</v>
      </c>
      <c r="B18" s="70" t="s">
        <v>366</v>
      </c>
      <c r="C18" s="298"/>
      <c r="D18" s="34">
        <f>SUM(D55:D58)*$B$66</f>
        <v>1280180.4146911835</v>
      </c>
      <c r="E18" s="298"/>
      <c r="F18" s="298"/>
      <c r="G18" s="298"/>
      <c r="H18" s="298"/>
      <c r="I18" s="298"/>
      <c r="J18" s="298"/>
      <c r="K18" s="298"/>
      <c r="L18" s="298"/>
      <c r="M18" s="298"/>
      <c r="N18" s="298"/>
      <c r="O18" s="298"/>
      <c r="P18" s="298"/>
      <c r="Q18" s="298"/>
      <c r="R18" s="298"/>
      <c r="S18" s="298"/>
      <c r="T18" s="298"/>
      <c r="U18" s="298"/>
      <c r="V18" s="298"/>
      <c r="W18" s="298"/>
      <c r="X18" s="298"/>
      <c r="Y18" s="298"/>
      <c r="Z18" s="298"/>
    </row>
    <row r="19" spans="1:26">
      <c r="A19" s="70"/>
      <c r="B19" s="70" t="s">
        <v>529</v>
      </c>
      <c r="C19" s="298">
        <f>0.5*C26</f>
        <v>0</v>
      </c>
      <c r="D19" s="298">
        <f>0.5*D26</f>
        <v>0</v>
      </c>
      <c r="E19" s="298">
        <f>0.5*E26</f>
        <v>-8787.9085714038611</v>
      </c>
      <c r="F19" s="298">
        <f>0.5*F26</f>
        <v>-9006.4704881680391</v>
      </c>
      <c r="G19" s="298">
        <f t="shared" ref="G19:Z19" si="5">0.5*G26</f>
        <v>-9225.0324049322153</v>
      </c>
      <c r="H19" s="298">
        <f t="shared" si="5"/>
        <v>-9443.5943216963951</v>
      </c>
      <c r="I19" s="298">
        <f t="shared" si="5"/>
        <v>-9662.1562384605695</v>
      </c>
      <c r="J19" s="298">
        <f t="shared" si="5"/>
        <v>-9880.7181552247512</v>
      </c>
      <c r="K19" s="298">
        <f t="shared" si="5"/>
        <v>-10099.280071988927</v>
      </c>
      <c r="L19" s="298">
        <f t="shared" si="5"/>
        <v>-10175.304734223118</v>
      </c>
      <c r="M19" s="298">
        <f t="shared" si="5"/>
        <v>-10251.329396457313</v>
      </c>
      <c r="N19" s="298">
        <f t="shared" si="5"/>
        <v>-10327.354058691501</v>
      </c>
      <c r="O19" s="298">
        <f t="shared" si="5"/>
        <v>-10403.378720925693</v>
      </c>
      <c r="P19" s="298">
        <f t="shared" si="5"/>
        <v>-10479.403383159884</v>
      </c>
      <c r="Q19" s="298">
        <f t="shared" si="5"/>
        <v>-10555.428045394076</v>
      </c>
      <c r="R19" s="298">
        <f t="shared" si="5"/>
        <v>-10631.452707628265</v>
      </c>
      <c r="S19" s="298">
        <f t="shared" si="5"/>
        <v>-10707.477369862456</v>
      </c>
      <c r="T19" s="298">
        <f t="shared" si="5"/>
        <v>-10783.502032096647</v>
      </c>
      <c r="U19" s="298">
        <f t="shared" si="5"/>
        <v>-10859.52669433084</v>
      </c>
      <c r="V19" s="298">
        <f t="shared" si="5"/>
        <v>-10935.551356565029</v>
      </c>
      <c r="W19" s="298">
        <f t="shared" si="5"/>
        <v>-11011.57601879922</v>
      </c>
      <c r="X19" s="298">
        <f t="shared" si="5"/>
        <v>-11087.600681033413</v>
      </c>
      <c r="Y19" s="298">
        <f t="shared" si="5"/>
        <v>-11163.625343267604</v>
      </c>
      <c r="Z19" s="298">
        <f t="shared" si="5"/>
        <v>-11239.650005501797</v>
      </c>
    </row>
    <row r="20" spans="1:26">
      <c r="A20" s="70" t="s">
        <v>371</v>
      </c>
      <c r="B20" s="70" t="s">
        <v>366</v>
      </c>
      <c r="C20" s="298"/>
      <c r="D20" s="298">
        <v>0</v>
      </c>
      <c r="E20" s="298">
        <f>(E17)+E19</f>
        <v>1304043.6167020984</v>
      </c>
      <c r="F20" s="298">
        <f t="shared" ref="F20:Z20" si="6">(F17)+F19</f>
        <v>1336476.1653676534</v>
      </c>
      <c r="G20" s="298">
        <f t="shared" si="6"/>
        <v>1368908.7140332083</v>
      </c>
      <c r="H20" s="298">
        <f t="shared" si="6"/>
        <v>1401341.2626987631</v>
      </c>
      <c r="I20" s="298">
        <f t="shared" si="6"/>
        <v>1433773.8113643173</v>
      </c>
      <c r="J20" s="298">
        <f t="shared" si="6"/>
        <v>1466206.3600298725</v>
      </c>
      <c r="K20" s="298">
        <f t="shared" si="6"/>
        <v>1498638.9086954275</v>
      </c>
      <c r="L20" s="298">
        <f t="shared" si="6"/>
        <v>1509920.2590523295</v>
      </c>
      <c r="M20" s="298">
        <f t="shared" si="6"/>
        <v>1521201.6094092315</v>
      </c>
      <c r="N20" s="298">
        <f t="shared" si="6"/>
        <v>1532482.9597661335</v>
      </c>
      <c r="O20" s="298">
        <f t="shared" si="6"/>
        <v>1543764.3101230357</v>
      </c>
      <c r="P20" s="298">
        <f t="shared" si="6"/>
        <v>1555045.6604799379</v>
      </c>
      <c r="Q20" s="298">
        <f t="shared" si="6"/>
        <v>1566327.0108368399</v>
      </c>
      <c r="R20" s="298">
        <f t="shared" si="6"/>
        <v>1577608.3611937419</v>
      </c>
      <c r="S20" s="298">
        <f t="shared" si="6"/>
        <v>1588889.7115506439</v>
      </c>
      <c r="T20" s="298">
        <f t="shared" si="6"/>
        <v>1600171.0619075457</v>
      </c>
      <c r="U20" s="298">
        <f t="shared" si="6"/>
        <v>1611452.4122644479</v>
      </c>
      <c r="V20" s="298">
        <f t="shared" si="6"/>
        <v>1622733.7626213504</v>
      </c>
      <c r="W20" s="298">
        <f t="shared" si="6"/>
        <v>1634015.1129782519</v>
      </c>
      <c r="X20" s="298">
        <f t="shared" si="6"/>
        <v>1645296.4633351546</v>
      </c>
      <c r="Y20" s="298">
        <f t="shared" si="6"/>
        <v>1656577.8136920568</v>
      </c>
      <c r="Z20" s="298">
        <f t="shared" si="6"/>
        <v>1667859.164048959</v>
      </c>
    </row>
    <row r="21" spans="1:26">
      <c r="G21"/>
      <c r="I21"/>
    </row>
    <row r="22" spans="1:26">
      <c r="A22" s="70"/>
      <c r="G22"/>
      <c r="I22"/>
    </row>
    <row r="23" spans="1:26">
      <c r="A23" s="70"/>
      <c r="B23" s="58" t="s">
        <v>436</v>
      </c>
      <c r="G23"/>
      <c r="I23"/>
    </row>
    <row r="24" spans="1:26">
      <c r="B24" s="78" t="s">
        <v>505</v>
      </c>
      <c r="C24" s="298">
        <f>C6+C7+C12+C13</f>
        <v>0</v>
      </c>
      <c r="D24" s="298">
        <f t="shared" ref="D24:Z24" si="7">D6+D7+D12+D13</f>
        <v>0</v>
      </c>
      <c r="E24" s="298">
        <f t="shared" si="7"/>
        <v>29293.028571346204</v>
      </c>
      <c r="F24" s="298">
        <f t="shared" si="7"/>
        <v>30021.568293893462</v>
      </c>
      <c r="G24" s="298">
        <f t="shared" si="7"/>
        <v>30750.108016440721</v>
      </c>
      <c r="H24" s="298">
        <f t="shared" si="7"/>
        <v>31478.647738987984</v>
      </c>
      <c r="I24" s="298">
        <f t="shared" si="7"/>
        <v>32207.187461535232</v>
      </c>
      <c r="J24" s="298">
        <f t="shared" si="7"/>
        <v>32935.727184082505</v>
      </c>
      <c r="K24" s="298">
        <f t="shared" si="7"/>
        <v>33664.266906629768</v>
      </c>
      <c r="L24" s="298">
        <f t="shared" si="7"/>
        <v>33917.6824474104</v>
      </c>
      <c r="M24" s="298">
        <f t="shared" si="7"/>
        <v>34171.097988191046</v>
      </c>
      <c r="N24" s="298">
        <f t="shared" si="7"/>
        <v>34424.513528971664</v>
      </c>
      <c r="O24" s="298">
        <f t="shared" si="7"/>
        <v>34677.929069752317</v>
      </c>
      <c r="P24" s="298">
        <f t="shared" si="7"/>
        <v>34931.344610532949</v>
      </c>
      <c r="Q24" s="298">
        <f t="shared" si="7"/>
        <v>35184.760151313581</v>
      </c>
      <c r="R24" s="298">
        <f t="shared" si="7"/>
        <v>35438.175692094213</v>
      </c>
      <c r="S24" s="298">
        <f t="shared" si="7"/>
        <v>35691.591232874853</v>
      </c>
      <c r="T24" s="298">
        <f t="shared" si="7"/>
        <v>35945.006773655492</v>
      </c>
      <c r="U24" s="298">
        <f t="shared" si="7"/>
        <v>36198.422314436139</v>
      </c>
      <c r="V24" s="298">
        <f t="shared" si="7"/>
        <v>36451.837855216771</v>
      </c>
      <c r="W24" s="298">
        <f t="shared" si="7"/>
        <v>36705.253395997403</v>
      </c>
      <c r="X24" s="298">
        <f t="shared" si="7"/>
        <v>36958.668936778042</v>
      </c>
      <c r="Y24" s="298">
        <f t="shared" si="7"/>
        <v>37212.084477558674</v>
      </c>
      <c r="Z24" s="298">
        <f t="shared" si="7"/>
        <v>37465.50001833932</v>
      </c>
    </row>
    <row r="25" spans="1:26">
      <c r="B25" s="78" t="s">
        <v>506</v>
      </c>
      <c r="C25" s="418"/>
      <c r="D25" s="298"/>
      <c r="E25" s="298">
        <f>-E24*$A$57</f>
        <v>-845.9222535145891</v>
      </c>
      <c r="F25" s="298">
        <f t="shared" ref="F25:Z25" si="8">-F24*$A$57</f>
        <v>-866.96097821903675</v>
      </c>
      <c r="G25" s="298">
        <f t="shared" si="8"/>
        <v>-887.99970292348428</v>
      </c>
      <c r="H25" s="298">
        <f t="shared" si="8"/>
        <v>-909.03842762793204</v>
      </c>
      <c r="I25" s="298">
        <f t="shared" si="8"/>
        <v>-930.07715233237923</v>
      </c>
      <c r="J25" s="298">
        <f t="shared" si="8"/>
        <v>-951.11587703682733</v>
      </c>
      <c r="K25" s="298">
        <f t="shared" si="8"/>
        <v>-972.15460174127497</v>
      </c>
      <c r="L25" s="298">
        <f t="shared" si="8"/>
        <v>-979.47271993484628</v>
      </c>
      <c r="M25" s="298">
        <f t="shared" si="8"/>
        <v>-986.79083812841793</v>
      </c>
      <c r="N25" s="298">
        <f t="shared" si="8"/>
        <v>-994.10895632198867</v>
      </c>
      <c r="O25" s="298">
        <f t="shared" si="8"/>
        <v>-1001.4270745155605</v>
      </c>
      <c r="P25" s="298">
        <f t="shared" si="8"/>
        <v>-1008.7451927091317</v>
      </c>
      <c r="Q25" s="298">
        <f t="shared" si="8"/>
        <v>-1016.0633109027031</v>
      </c>
      <c r="R25" s="298">
        <f t="shared" si="8"/>
        <v>-1023.3814290962742</v>
      </c>
      <c r="S25" s="298">
        <f t="shared" si="8"/>
        <v>-1030.6995472898457</v>
      </c>
      <c r="T25" s="298">
        <f t="shared" si="8"/>
        <v>-1038.0176654834172</v>
      </c>
      <c r="U25" s="298">
        <f t="shared" si="8"/>
        <v>-1045.3357836769887</v>
      </c>
      <c r="V25" s="298">
        <f t="shared" si="8"/>
        <v>-1052.65390187056</v>
      </c>
      <c r="W25" s="298">
        <f t="shared" si="8"/>
        <v>-1059.9720200641311</v>
      </c>
      <c r="X25" s="298">
        <f t="shared" si="8"/>
        <v>-1067.2901382577027</v>
      </c>
      <c r="Y25" s="298">
        <f t="shared" si="8"/>
        <v>-1074.608256451274</v>
      </c>
      <c r="Z25" s="298">
        <f t="shared" si="8"/>
        <v>-1081.9263746448455</v>
      </c>
    </row>
    <row r="26" spans="1:26">
      <c r="B26" s="78" t="s">
        <v>507</v>
      </c>
      <c r="C26" s="298">
        <f>-(C6+C12)</f>
        <v>0</v>
      </c>
      <c r="D26" s="298">
        <f t="shared" ref="D26:Z26" si="9">-(D6+D12)</f>
        <v>0</v>
      </c>
      <c r="E26" s="298">
        <f t="shared" si="9"/>
        <v>-17575.817142807722</v>
      </c>
      <c r="F26" s="298">
        <f t="shared" si="9"/>
        <v>-18012.940976336078</v>
      </c>
      <c r="G26" s="298">
        <f t="shared" si="9"/>
        <v>-18450.064809864431</v>
      </c>
      <c r="H26" s="298">
        <f t="shared" si="9"/>
        <v>-18887.18864339279</v>
      </c>
      <c r="I26" s="298">
        <f t="shared" si="9"/>
        <v>-19324.312476921139</v>
      </c>
      <c r="J26" s="298">
        <f t="shared" si="9"/>
        <v>-19761.436310449502</v>
      </c>
      <c r="K26" s="298">
        <f t="shared" si="9"/>
        <v>-20198.560143977855</v>
      </c>
      <c r="L26" s="298">
        <f t="shared" si="9"/>
        <v>-20350.609468446237</v>
      </c>
      <c r="M26" s="298">
        <f t="shared" si="9"/>
        <v>-20502.658792914626</v>
      </c>
      <c r="N26" s="298">
        <f t="shared" si="9"/>
        <v>-20654.708117383001</v>
      </c>
      <c r="O26" s="298">
        <f t="shared" si="9"/>
        <v>-20806.757441851387</v>
      </c>
      <c r="P26" s="298">
        <f t="shared" si="9"/>
        <v>-20958.806766319769</v>
      </c>
      <c r="Q26" s="298">
        <f t="shared" si="9"/>
        <v>-21110.856090788151</v>
      </c>
      <c r="R26" s="298">
        <f t="shared" si="9"/>
        <v>-21262.90541525653</v>
      </c>
      <c r="S26" s="298">
        <f t="shared" si="9"/>
        <v>-21414.954739724912</v>
      </c>
      <c r="T26" s="298">
        <f t="shared" si="9"/>
        <v>-21567.004064193294</v>
      </c>
      <c r="U26" s="298">
        <f t="shared" si="9"/>
        <v>-21719.053388661679</v>
      </c>
      <c r="V26" s="298">
        <f t="shared" si="9"/>
        <v>-21871.102713130058</v>
      </c>
      <c r="W26" s="298">
        <f t="shared" si="9"/>
        <v>-22023.15203759844</v>
      </c>
      <c r="X26" s="298">
        <f t="shared" si="9"/>
        <v>-22175.201362066826</v>
      </c>
      <c r="Y26" s="298">
        <f t="shared" si="9"/>
        <v>-22327.250686535208</v>
      </c>
      <c r="Z26" s="298">
        <f t="shared" si="9"/>
        <v>-22479.300011003594</v>
      </c>
    </row>
    <row r="27" spans="1:26">
      <c r="B27" s="78" t="s">
        <v>508</v>
      </c>
      <c r="C27" s="298">
        <f>-('Mode Operating Assumptions'!$C$27*(C6+C12))</f>
        <v>0</v>
      </c>
      <c r="D27" s="298">
        <f>-('Mode Operating Assumptions'!$C$27*(D6+D12))</f>
        <v>0</v>
      </c>
      <c r="E27" s="298">
        <f>-('Mode Operating Assumptions'!$C$27*(E6+E12))</f>
        <v>-114242.81142825019</v>
      </c>
      <c r="F27" s="298">
        <f>-('Mode Operating Assumptions'!$C$27*(F6+F12))</f>
        <v>-117084.11634618451</v>
      </c>
      <c r="G27" s="298">
        <f>-('Mode Operating Assumptions'!$C$27*(G6+G12))</f>
        <v>-119925.42126411881</v>
      </c>
      <c r="H27" s="298">
        <f>-('Mode Operating Assumptions'!$C$27*(H6+H12))</f>
        <v>-122766.72618205314</v>
      </c>
      <c r="I27" s="298">
        <f>-('Mode Operating Assumptions'!$C$27*(I6+I12))</f>
        <v>-125608.03109998741</v>
      </c>
      <c r="J27" s="298">
        <f>-('Mode Operating Assumptions'!$C$27*(J6+J12))</f>
        <v>-128449.33601792177</v>
      </c>
      <c r="K27" s="298">
        <f>-('Mode Operating Assumptions'!$C$27*(K6+K12))</f>
        <v>-131290.64093585606</v>
      </c>
      <c r="L27" s="298">
        <f>-('Mode Operating Assumptions'!$C$27*(L6+L12))</f>
        <v>-132278.96154490055</v>
      </c>
      <c r="M27" s="298">
        <f>-('Mode Operating Assumptions'!$C$27*(M6+M12))</f>
        <v>-133267.28215394507</v>
      </c>
      <c r="N27" s="298">
        <f>-('Mode Operating Assumptions'!$C$27*(N6+N12))</f>
        <v>-134255.6027629895</v>
      </c>
      <c r="O27" s="298">
        <f>-('Mode Operating Assumptions'!$C$27*(O6+O12))</f>
        <v>-135243.92337203401</v>
      </c>
      <c r="P27" s="298">
        <f>-('Mode Operating Assumptions'!$C$27*(P6+P12))</f>
        <v>-136232.2439810785</v>
      </c>
      <c r="Q27" s="298">
        <f>-('Mode Operating Assumptions'!$C$27*(Q6+Q12))</f>
        <v>-137220.56459012299</v>
      </c>
      <c r="R27" s="298">
        <f>-('Mode Operating Assumptions'!$C$27*(R6+R12))</f>
        <v>-138208.88519916745</v>
      </c>
      <c r="S27" s="298">
        <f>-('Mode Operating Assumptions'!$C$27*(S6+S12))</f>
        <v>-139197.20580821193</v>
      </c>
      <c r="T27" s="298">
        <f>-('Mode Operating Assumptions'!$C$27*(T6+T12))</f>
        <v>-140185.52641725642</v>
      </c>
      <c r="U27" s="298">
        <f>-('Mode Operating Assumptions'!$C$27*(U6+U12))</f>
        <v>-141173.84702630091</v>
      </c>
      <c r="V27" s="298">
        <f>-('Mode Operating Assumptions'!$C$27*(V6+V12))</f>
        <v>-142162.16763534537</v>
      </c>
      <c r="W27" s="298">
        <f>-('Mode Operating Assumptions'!$C$27*(W6+W12))</f>
        <v>-143150.48824438985</v>
      </c>
      <c r="X27" s="298">
        <f>-('Mode Operating Assumptions'!$C$27*(X6+X12))</f>
        <v>-144138.80885343437</v>
      </c>
      <c r="Y27" s="298">
        <f>-('Mode Operating Assumptions'!$C$27*(Y6+Y12))</f>
        <v>-145127.12946247886</v>
      </c>
      <c r="Z27" s="298">
        <f>-('Mode Operating Assumptions'!$C$27*(Z6+Z12))</f>
        <v>-146115.45007152337</v>
      </c>
    </row>
    <row r="28" spans="1:26">
      <c r="A28" s="70"/>
      <c r="B28" s="54" t="s">
        <v>509</v>
      </c>
      <c r="C28" s="246">
        <f>-(C27*'Mode Operating Assumptions'!$C$8/'Mode Operating Assumptions'!C11)</f>
        <v>0</v>
      </c>
      <c r="D28" s="246">
        <f>-(D27*'Mode Operating Assumptions'!$C$8/'Mode Operating Assumptions'!D11)</f>
        <v>0</v>
      </c>
      <c r="E28" s="246">
        <f>-(E27*'Mode Operating Assumptions'!$C$8/'Mode Operating Assumptions'!E11)</f>
        <v>19678.479250813878</v>
      </c>
      <c r="F28" s="246">
        <f>-(F27*'Mode Operating Assumptions'!$C$8/'Mode Operating Assumptions'!F11)</f>
        <v>19723.391389477045</v>
      </c>
      <c r="G28" s="246">
        <f>-(G27*'Mode Operating Assumptions'!$C$8/'Mode Operating Assumptions'!G11)</f>
        <v>19766.366467652664</v>
      </c>
      <c r="H28" s="246">
        <f>-(H27*'Mode Operating Assumptions'!$C$8/'Mode Operating Assumptions'!H11)</f>
        <v>19807.527158029112</v>
      </c>
      <c r="I28" s="246">
        <f>-(I27*'Mode Operating Assumptions'!$C$8/'Mode Operating Assumptions'!I11)</f>
        <v>19846.985989069351</v>
      </c>
      <c r="J28" s="246">
        <f>-(J27*'Mode Operating Assumptions'!$C$8/'Mode Operating Assumptions'!J11)</f>
        <v>19884.846372348486</v>
      </c>
      <c r="K28" s="246">
        <f>-(K27*'Mode Operating Assumptions'!$C$8/'Mode Operating Assumptions'!K11)</f>
        <v>19921.203507519698</v>
      </c>
      <c r="L28" s="246">
        <f>-(L27*'Mode Operating Assumptions'!$C$8/'Mode Operating Assumptions'!L11)</f>
        <v>20060.536342107593</v>
      </c>
      <c r="M28" s="246">
        <f>-(M27*'Mode Operating Assumptions'!$C$8/'Mode Operating Assumptions'!M11)</f>
        <v>20199.721688248203</v>
      </c>
      <c r="N28" s="246">
        <f>-(N27*'Mode Operating Assumptions'!$C$8/'Mode Operating Assumptions'!N11)</f>
        <v>20338.759779999793</v>
      </c>
      <c r="O28" s="246">
        <f>-(O27*'Mode Operating Assumptions'!$C$8/'Mode Operating Assumptions'!O11)</f>
        <v>20477.650850925667</v>
      </c>
      <c r="P28" s="246">
        <f>-(P27*'Mode Operating Assumptions'!$C$8/'Mode Operating Assumptions'!P11)</f>
        <v>20616.395134095401</v>
      </c>
      <c r="Q28" s="246">
        <f>-(Q27*'Mode Operating Assumptions'!$C$8/'Mode Operating Assumptions'!Q11)</f>
        <v>20754.992862086212</v>
      </c>
      <c r="R28" s="246">
        <f>-(R27*'Mode Operating Assumptions'!$C$8/'Mode Operating Assumptions'!R11)</f>
        <v>20893.444266984228</v>
      </c>
      <c r="S28" s="246">
        <f>-(S27*'Mode Operating Assumptions'!$C$8/'Mode Operating Assumptions'!S11)</f>
        <v>21031.749580385807</v>
      </c>
      <c r="T28" s="246">
        <f>-(T27*'Mode Operating Assumptions'!$C$8/'Mode Operating Assumptions'!T11)</f>
        <v>21169.909033398792</v>
      </c>
      <c r="U28" s="246">
        <f>-(U27*'Mode Operating Assumptions'!$C$8/'Mode Operating Assumptions'!U11)</f>
        <v>21307.922856643821</v>
      </c>
      <c r="V28" s="246">
        <f>-(V27*'Mode Operating Assumptions'!$C$8/'Mode Operating Assumptions'!V11)</f>
        <v>21445.791280255617</v>
      </c>
      <c r="W28" s="246">
        <f>-(W27*'Mode Operating Assumptions'!$C$8/'Mode Operating Assumptions'!W11)</f>
        <v>21583.514533884256</v>
      </c>
      <c r="X28" s="246">
        <f>-(X27*'Mode Operating Assumptions'!$C$8/'Mode Operating Assumptions'!X11)</f>
        <v>21721.092846696432</v>
      </c>
      <c r="Y28" s="246">
        <f>-(Y27*'Mode Operating Assumptions'!$C$8/'Mode Operating Assumptions'!Y11)</f>
        <v>21858.526447376753</v>
      </c>
      <c r="Z28" s="246">
        <f>-(Z27*'Mode Operating Assumptions'!$C$8/'Mode Operating Assumptions'!Z11)</f>
        <v>21995.815564128992</v>
      </c>
    </row>
    <row r="29" spans="1:26">
      <c r="A29" s="70"/>
      <c r="B29" s="54"/>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row>
    <row r="30" spans="1:26">
      <c r="A30" s="70"/>
      <c r="B30" s="54"/>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row>
    <row r="31" spans="1:26">
      <c r="A31" s="70"/>
      <c r="B31" s="54"/>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26">
      <c r="A32" s="70"/>
      <c r="B32" s="54"/>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row>
    <row r="33" spans="1:26">
      <c r="A33" s="70"/>
      <c r="B33" s="54"/>
      <c r="C33" s="246"/>
      <c r="D33" s="246"/>
      <c r="E33" s="246"/>
      <c r="F33" s="246"/>
      <c r="G33" s="246"/>
      <c r="H33" s="246"/>
      <c r="I33" s="246"/>
      <c r="J33" s="246"/>
      <c r="K33" s="246"/>
      <c r="L33" s="246"/>
      <c r="M33" s="246"/>
      <c r="N33" s="246"/>
      <c r="O33" s="246"/>
      <c r="P33" s="246"/>
      <c r="Q33" s="246"/>
      <c r="R33" s="246"/>
      <c r="S33" s="246"/>
      <c r="T33" s="246"/>
      <c r="U33" s="246"/>
      <c r="V33" s="246"/>
      <c r="W33" s="246"/>
      <c r="X33" s="246"/>
      <c r="Y33" s="246"/>
      <c r="Z33" s="246"/>
    </row>
    <row r="34" spans="1:26">
      <c r="A34" s="70"/>
      <c r="B34" s="54"/>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row>
    <row r="35" spans="1:26">
      <c r="G35"/>
      <c r="I35"/>
    </row>
    <row r="36" spans="1:26" s="400" customFormat="1" ht="11.25">
      <c r="A36" s="521" t="s">
        <v>251</v>
      </c>
      <c r="B36" s="523" t="s">
        <v>256</v>
      </c>
      <c r="C36" s="524"/>
      <c r="D36" s="524"/>
      <c r="E36" s="525"/>
      <c r="F36" s="523" t="s">
        <v>257</v>
      </c>
      <c r="G36" s="524"/>
      <c r="H36" s="524"/>
      <c r="I36" s="525"/>
    </row>
    <row r="37" spans="1:26" s="400" customFormat="1" ht="12" thickBot="1">
      <c r="A37" s="522"/>
      <c r="B37" s="151">
        <v>2005</v>
      </c>
      <c r="C37" s="152">
        <v>2010</v>
      </c>
      <c r="D37" s="152">
        <v>2020</v>
      </c>
      <c r="E37" s="153">
        <v>2030</v>
      </c>
      <c r="F37" s="151">
        <v>2005</v>
      </c>
      <c r="G37" s="152">
        <v>2010</v>
      </c>
      <c r="H37" s="152">
        <v>2020</v>
      </c>
      <c r="I37" s="153">
        <v>2030</v>
      </c>
    </row>
    <row r="38" spans="1:26">
      <c r="A38" s="424" t="s">
        <v>591</v>
      </c>
      <c r="B38" s="421">
        <v>4496.9047619047651</v>
      </c>
      <c r="C38" s="422">
        <v>4860.0146815724702</v>
      </c>
      <c r="D38" s="422">
        <v>6213.3606005194733</v>
      </c>
      <c r="E38" s="423">
        <v>6691.4653075376664</v>
      </c>
      <c r="F38" s="421">
        <v>4474</v>
      </c>
      <c r="G38" s="422">
        <v>4828.2116495573327</v>
      </c>
      <c r="H38" s="422">
        <v>6150.5898266652066</v>
      </c>
      <c r="I38" s="423">
        <v>6603.210031132593</v>
      </c>
    </row>
    <row r="39" spans="1:26">
      <c r="D39">
        <f>(D38-C38)/10</f>
        <v>135.33459189470031</v>
      </c>
      <c r="E39">
        <f>(E38-D38)/10</f>
        <v>47.810470701819305</v>
      </c>
      <c r="H39">
        <f>(H38-G38)/10</f>
        <v>132.2378177107874</v>
      </c>
      <c r="I39">
        <f>(I38-H38)/10</f>
        <v>45.262020446738646</v>
      </c>
    </row>
    <row r="40" spans="1:26">
      <c r="D40" s="128">
        <f>D39/C38</f>
        <v>2.7846539725043064E-2</v>
      </c>
      <c r="E40" s="128">
        <f>E39/D38</f>
        <v>7.6947844774729593E-3</v>
      </c>
      <c r="F40" s="128"/>
      <c r="G40" s="401"/>
      <c r="H40" s="128">
        <f>H39/G38</f>
        <v>2.7388571029795559E-2</v>
      </c>
      <c r="I40" s="128">
        <f>I39/H38</f>
        <v>7.3589723461171359E-3</v>
      </c>
    </row>
    <row r="41" spans="1:26">
      <c r="D41" s="128"/>
      <c r="E41" s="128"/>
      <c r="F41" s="128"/>
      <c r="G41" s="401"/>
      <c r="H41" s="128"/>
      <c r="I41" s="128"/>
    </row>
    <row r="42" spans="1:26">
      <c r="C42" s="75">
        <v>2012</v>
      </c>
      <c r="D42" s="75">
        <v>2013</v>
      </c>
      <c r="E42" s="75">
        <v>2014</v>
      </c>
      <c r="F42" s="75">
        <v>2015</v>
      </c>
      <c r="G42" s="75">
        <v>2016</v>
      </c>
      <c r="H42" s="75">
        <v>2017</v>
      </c>
      <c r="I42" s="75">
        <v>2018</v>
      </c>
      <c r="J42" s="75">
        <v>2019</v>
      </c>
      <c r="K42" s="75">
        <v>2020</v>
      </c>
      <c r="L42" s="75">
        <v>2021</v>
      </c>
      <c r="M42" s="75">
        <v>2022</v>
      </c>
      <c r="N42" s="75">
        <v>2023</v>
      </c>
      <c r="O42" s="75">
        <v>2024</v>
      </c>
      <c r="P42" s="75">
        <v>2025</v>
      </c>
      <c r="Q42" s="75">
        <v>2026</v>
      </c>
      <c r="R42" s="75">
        <v>2027</v>
      </c>
      <c r="S42" s="75">
        <v>2028</v>
      </c>
      <c r="T42" s="75">
        <v>2029</v>
      </c>
      <c r="U42" s="75">
        <v>2030</v>
      </c>
      <c r="V42" s="75">
        <v>2031</v>
      </c>
      <c r="W42" s="75">
        <v>2032</v>
      </c>
      <c r="X42" s="75">
        <v>2033</v>
      </c>
      <c r="Y42" s="75">
        <v>2034</v>
      </c>
      <c r="Z42" s="75">
        <v>2035</v>
      </c>
    </row>
    <row r="43" spans="1:26">
      <c r="C43" s="75" t="s">
        <v>18</v>
      </c>
      <c r="D43" s="72" t="s">
        <v>19</v>
      </c>
      <c r="E43" s="72" t="s">
        <v>20</v>
      </c>
      <c r="F43" s="72" t="s">
        <v>21</v>
      </c>
      <c r="G43" s="72" t="s">
        <v>22</v>
      </c>
      <c r="H43" s="72" t="s">
        <v>23</v>
      </c>
      <c r="I43" s="72" t="s">
        <v>24</v>
      </c>
      <c r="J43" s="72" t="s">
        <v>25</v>
      </c>
      <c r="K43" s="72" t="s">
        <v>26</v>
      </c>
      <c r="L43" s="72" t="s">
        <v>27</v>
      </c>
      <c r="M43" s="72" t="s">
        <v>28</v>
      </c>
      <c r="N43" s="72" t="s">
        <v>29</v>
      </c>
      <c r="O43" s="72" t="s">
        <v>30</v>
      </c>
      <c r="P43" s="72" t="s">
        <v>31</v>
      </c>
      <c r="Q43" s="72" t="s">
        <v>32</v>
      </c>
      <c r="R43" s="72" t="s">
        <v>33</v>
      </c>
      <c r="S43" s="72" t="s">
        <v>34</v>
      </c>
      <c r="T43" s="72" t="s">
        <v>35</v>
      </c>
      <c r="U43" s="72" t="s">
        <v>36</v>
      </c>
      <c r="V43" s="72" t="s">
        <v>123</v>
      </c>
      <c r="W43" s="72" t="s">
        <v>245</v>
      </c>
      <c r="X43" s="72" t="s">
        <v>246</v>
      </c>
      <c r="Y43" s="72" t="s">
        <v>247</v>
      </c>
      <c r="Z43" s="72" t="s">
        <v>248</v>
      </c>
    </row>
    <row r="44" spans="1:26">
      <c r="B44" s="26" t="s">
        <v>267</v>
      </c>
      <c r="C44" s="402">
        <f>$C$38*(1+($D$40*(C42-2010)))+$G$38*(1+($H$40*(C42-2010)))</f>
        <v>10223.371150340778</v>
      </c>
      <c r="D44" s="402">
        <f t="shared" ref="D44:J44" si="10">$C$38*(1+($D$40*(D42-2010)))+$G$38*(1+($H$40*(D42-2010)))</f>
        <v>10490.943559946267</v>
      </c>
      <c r="E44" s="402">
        <f t="shared" si="10"/>
        <v>10758.515969551754</v>
      </c>
      <c r="F44" s="402">
        <f t="shared" si="10"/>
        <v>11026.088379157241</v>
      </c>
      <c r="G44" s="402">
        <f t="shared" si="10"/>
        <v>11293.660788762729</v>
      </c>
      <c r="H44" s="402">
        <f t="shared" si="10"/>
        <v>11561.233198368218</v>
      </c>
      <c r="I44" s="402">
        <f t="shared" si="10"/>
        <v>11828.805607973703</v>
      </c>
      <c r="J44" s="402">
        <f t="shared" si="10"/>
        <v>12096.378017579193</v>
      </c>
      <c r="K44" s="164">
        <f>H38+D38</f>
        <v>12363.95042718468</v>
      </c>
      <c r="L44" s="402">
        <f>$D$38*(1+($E$40*(L42-2020)))+$H$38*(1+($I$40*(L42-2020)))</f>
        <v>12457.022918333238</v>
      </c>
      <c r="M44" s="402">
        <f t="shared" ref="M44:Z44" si="11">$D$38*(1+($E$40*(M42-2020)))+$H$38*(1+($I$40*(M42-2020)))</f>
        <v>12550.095409481797</v>
      </c>
      <c r="N44" s="402">
        <f t="shared" si="11"/>
        <v>12643.167900630353</v>
      </c>
      <c r="O44" s="402">
        <f t="shared" si="11"/>
        <v>12736.240391778912</v>
      </c>
      <c r="P44" s="402">
        <f t="shared" si="11"/>
        <v>12829.31288292747</v>
      </c>
      <c r="Q44" s="402">
        <f t="shared" si="11"/>
        <v>12922.385374076028</v>
      </c>
      <c r="R44" s="402">
        <f t="shared" si="11"/>
        <v>13015.457865224584</v>
      </c>
      <c r="S44" s="402">
        <f t="shared" si="11"/>
        <v>13108.530356373143</v>
      </c>
      <c r="T44" s="402">
        <f t="shared" si="11"/>
        <v>13201.602847521699</v>
      </c>
      <c r="U44" s="402">
        <f t="shared" si="11"/>
        <v>13294.675338670258</v>
      </c>
      <c r="V44" s="402">
        <f t="shared" si="11"/>
        <v>13387.747829818816</v>
      </c>
      <c r="W44" s="402">
        <f t="shared" si="11"/>
        <v>13480.820320967374</v>
      </c>
      <c r="X44" s="402">
        <f t="shared" si="11"/>
        <v>13573.892812115933</v>
      </c>
      <c r="Y44" s="402">
        <f t="shared" si="11"/>
        <v>13666.965303264493</v>
      </c>
      <c r="Z44" s="402">
        <f t="shared" si="11"/>
        <v>13760.037794413049</v>
      </c>
    </row>
    <row r="45" spans="1:26">
      <c r="U45" s="417">
        <f>I38+E38</f>
        <v>13294.675338670258</v>
      </c>
    </row>
    <row r="47" spans="1:26" s="174" customFormat="1">
      <c r="A47" s="173" t="s">
        <v>290</v>
      </c>
      <c r="B47" s="173" t="s">
        <v>272</v>
      </c>
      <c r="C47" s="173" t="s">
        <v>273</v>
      </c>
      <c r="D47" s="173" t="s">
        <v>274</v>
      </c>
      <c r="E47" s="173" t="s">
        <v>275</v>
      </c>
      <c r="F47" s="173" t="s">
        <v>276</v>
      </c>
      <c r="G47" s="173" t="s">
        <v>277</v>
      </c>
      <c r="H47" s="173" t="s">
        <v>278</v>
      </c>
      <c r="I47" s="173" t="s">
        <v>279</v>
      </c>
      <c r="J47" s="173" t="s">
        <v>280</v>
      </c>
      <c r="K47" s="173" t="s">
        <v>281</v>
      </c>
      <c r="L47" s="173" t="s">
        <v>282</v>
      </c>
      <c r="M47" s="173" t="s">
        <v>283</v>
      </c>
      <c r="N47" s="173" t="s">
        <v>284</v>
      </c>
      <c r="O47" s="173" t="s">
        <v>285</v>
      </c>
      <c r="P47" s="173" t="s">
        <v>286</v>
      </c>
      <c r="Q47" s="173" t="s">
        <v>287</v>
      </c>
      <c r="R47" s="173" t="s">
        <v>288</v>
      </c>
    </row>
    <row r="48" spans="1:26" s="419" customFormat="1">
      <c r="A48" s="405" t="s">
        <v>589</v>
      </c>
      <c r="B48" s="406">
        <v>4501.1302900000037</v>
      </c>
      <c r="C48" s="172"/>
      <c r="D48" s="172"/>
      <c r="E48" s="172"/>
      <c r="F48" s="406">
        <v>307.76558999999986</v>
      </c>
      <c r="G48" s="406">
        <v>119.9665</v>
      </c>
      <c r="H48" s="406">
        <v>18.514139999999998</v>
      </c>
      <c r="I48" s="406">
        <v>1461.7434500000011</v>
      </c>
      <c r="J48" s="172"/>
      <c r="K48" s="172"/>
      <c r="L48" s="406">
        <v>102.27477999999999</v>
      </c>
      <c r="M48" s="406">
        <v>325.61119999999983</v>
      </c>
      <c r="N48" s="406">
        <v>9.1944400000000002</v>
      </c>
      <c r="O48" s="172"/>
      <c r="P48" s="406">
        <v>74.14819</v>
      </c>
      <c r="Q48" s="172"/>
      <c r="R48" s="406">
        <v>2081.9119999999989</v>
      </c>
    </row>
    <row r="49" spans="1:26">
      <c r="D49" s="128">
        <f>D48/$B48</f>
        <v>0</v>
      </c>
      <c r="E49" s="128">
        <f>E48/$B48</f>
        <v>0</v>
      </c>
      <c r="F49" s="128">
        <f t="shared" ref="F49:R49" si="12">F48/$B48</f>
        <v>6.8375179159721591E-2</v>
      </c>
      <c r="G49" s="128">
        <f t="shared" si="12"/>
        <v>2.6652527758755436E-2</v>
      </c>
      <c r="H49" s="128">
        <f t="shared" si="12"/>
        <v>4.1132201929662384E-3</v>
      </c>
      <c r="I49" s="128">
        <f t="shared" si="12"/>
        <v>0.32475030843863884</v>
      </c>
      <c r="J49" s="128">
        <f t="shared" si="12"/>
        <v>0</v>
      </c>
      <c r="K49" s="128">
        <f t="shared" si="12"/>
        <v>0</v>
      </c>
      <c r="L49" s="128">
        <f t="shared" si="12"/>
        <v>2.2722021672471941E-2</v>
      </c>
      <c r="M49" s="128">
        <f t="shared" si="12"/>
        <v>7.2339874436293986E-2</v>
      </c>
      <c r="N49" s="128">
        <f t="shared" si="12"/>
        <v>2.0426958136330669E-3</v>
      </c>
      <c r="O49" s="128">
        <f t="shared" si="12"/>
        <v>0</v>
      </c>
      <c r="P49" s="128">
        <f t="shared" si="12"/>
        <v>1.6473237880879014E-2</v>
      </c>
      <c r="Q49" s="128">
        <f t="shared" si="12"/>
        <v>0</v>
      </c>
      <c r="R49" s="128">
        <f t="shared" si="12"/>
        <v>0.46253093464663897</v>
      </c>
    </row>
    <row r="50" spans="1:26" ht="15">
      <c r="B50" s="138" t="s">
        <v>289</v>
      </c>
      <c r="G50"/>
      <c r="I50"/>
    </row>
    <row r="51" spans="1:26">
      <c r="C51" s="75">
        <v>2012</v>
      </c>
      <c r="D51" s="75">
        <v>2013</v>
      </c>
      <c r="E51" s="75">
        <v>2014</v>
      </c>
      <c r="F51" s="75">
        <v>2015</v>
      </c>
      <c r="G51" s="75">
        <v>2016</v>
      </c>
      <c r="H51" s="75">
        <v>2017</v>
      </c>
      <c r="I51" s="75">
        <v>2018</v>
      </c>
      <c r="J51" s="75">
        <v>2019</v>
      </c>
      <c r="K51" s="75">
        <v>2020</v>
      </c>
      <c r="L51" s="75">
        <v>2021</v>
      </c>
      <c r="M51" s="75">
        <v>2022</v>
      </c>
      <c r="N51" s="75">
        <v>2023</v>
      </c>
      <c r="O51" s="75">
        <v>2024</v>
      </c>
      <c r="P51" s="75">
        <v>2025</v>
      </c>
      <c r="Q51" s="75">
        <v>2026</v>
      </c>
      <c r="R51" s="75">
        <v>2027</v>
      </c>
      <c r="S51" s="75">
        <v>2028</v>
      </c>
      <c r="T51" s="75">
        <v>2029</v>
      </c>
      <c r="U51" s="75">
        <v>2030</v>
      </c>
      <c r="V51" s="75">
        <v>2031</v>
      </c>
      <c r="W51" s="75">
        <v>2032</v>
      </c>
      <c r="X51" s="75">
        <v>2033</v>
      </c>
      <c r="Y51" s="75">
        <v>2034</v>
      </c>
      <c r="Z51" s="75">
        <v>2035</v>
      </c>
    </row>
    <row r="52" spans="1:26">
      <c r="C52" s="75" t="s">
        <v>18</v>
      </c>
      <c r="D52" s="72" t="s">
        <v>19</v>
      </c>
      <c r="E52" s="72" t="s">
        <v>20</v>
      </c>
      <c r="F52" s="72" t="s">
        <v>21</v>
      </c>
      <c r="G52" s="72" t="s">
        <v>22</v>
      </c>
      <c r="H52" s="72" t="s">
        <v>23</v>
      </c>
      <c r="I52" s="72" t="s">
        <v>24</v>
      </c>
      <c r="J52" s="72" t="s">
        <v>25</v>
      </c>
      <c r="K52" s="72" t="s">
        <v>26</v>
      </c>
      <c r="L52" s="72" t="s">
        <v>27</v>
      </c>
      <c r="M52" s="72" t="s">
        <v>28</v>
      </c>
      <c r="N52" s="72" t="s">
        <v>29</v>
      </c>
      <c r="O52" s="72" t="s">
        <v>30</v>
      </c>
      <c r="P52" s="72" t="s">
        <v>31</v>
      </c>
      <c r="Q52" s="72" t="s">
        <v>32</v>
      </c>
      <c r="R52" s="72" t="s">
        <v>33</v>
      </c>
      <c r="S52" s="72" t="s">
        <v>34</v>
      </c>
      <c r="T52" s="72" t="s">
        <v>35</v>
      </c>
      <c r="U52" s="72" t="s">
        <v>36</v>
      </c>
      <c r="V52" s="72" t="s">
        <v>123</v>
      </c>
      <c r="W52" s="72" t="s">
        <v>245</v>
      </c>
      <c r="X52" s="72" t="s">
        <v>246</v>
      </c>
      <c r="Y52" s="72" t="s">
        <v>247</v>
      </c>
      <c r="Z52" s="72" t="s">
        <v>248</v>
      </c>
    </row>
    <row r="53" spans="1:26">
      <c r="A53" s="133">
        <f>R49</f>
        <v>0.46253093464663897</v>
      </c>
      <c r="B53" t="s">
        <v>125</v>
      </c>
      <c r="C53" s="34">
        <f>C$59*$A53</f>
        <v>4386.5572447444983</v>
      </c>
      <c r="D53" s="34">
        <f t="shared" ref="D53:S58" si="13">D$59*$A53</f>
        <v>4501.3649412066943</v>
      </c>
      <c r="E53" s="34">
        <f t="shared" si="13"/>
        <v>4616.1726376688903</v>
      </c>
      <c r="F53" s="34">
        <f t="shared" si="13"/>
        <v>4730.9803341310853</v>
      </c>
      <c r="G53" s="34">
        <f t="shared" si="13"/>
        <v>4845.7880305932813</v>
      </c>
      <c r="H53" s="34">
        <f t="shared" si="13"/>
        <v>4960.5957270554782</v>
      </c>
      <c r="I53" s="34">
        <f t="shared" si="13"/>
        <v>5075.4034235176723</v>
      </c>
      <c r="J53" s="34">
        <f t="shared" si="13"/>
        <v>5190.2111199798692</v>
      </c>
      <c r="K53" s="34">
        <f t="shared" si="13"/>
        <v>5305.0188164420651</v>
      </c>
      <c r="L53" s="34">
        <f t="shared" si="13"/>
        <v>5344.9535702850299</v>
      </c>
      <c r="M53" s="34">
        <f t="shared" si="13"/>
        <v>5384.8883241279955</v>
      </c>
      <c r="N53" s="34">
        <f t="shared" si="13"/>
        <v>5424.8230779709584</v>
      </c>
      <c r="O53" s="34">
        <f t="shared" si="13"/>
        <v>5464.757831813924</v>
      </c>
      <c r="P53" s="34">
        <f t="shared" si="13"/>
        <v>5504.6925856568878</v>
      </c>
      <c r="Q53" s="34">
        <f t="shared" si="13"/>
        <v>5544.6273394998534</v>
      </c>
      <c r="R53" s="34">
        <f t="shared" si="13"/>
        <v>5584.5620933428172</v>
      </c>
      <c r="S53" s="34">
        <f t="shared" si="13"/>
        <v>5624.4968471857819</v>
      </c>
      <c r="T53" s="34">
        <f t="shared" ref="S53:Z58" si="14">T$59*$A53</f>
        <v>5664.4316010287457</v>
      </c>
      <c r="U53" s="34">
        <f t="shared" si="14"/>
        <v>5704.3663548717113</v>
      </c>
      <c r="V53" s="34">
        <f t="shared" si="14"/>
        <v>5744.301108714676</v>
      </c>
      <c r="W53" s="34">
        <f t="shared" si="14"/>
        <v>5784.2358625576398</v>
      </c>
      <c r="X53" s="34">
        <f t="shared" si="14"/>
        <v>5824.1706164006055</v>
      </c>
      <c r="Y53" s="34">
        <f t="shared" si="14"/>
        <v>5864.1053702435702</v>
      </c>
      <c r="Z53" s="34">
        <f t="shared" si="14"/>
        <v>5904.0401240865349</v>
      </c>
    </row>
    <row r="54" spans="1:26">
      <c r="A54" s="133">
        <f>G49</f>
        <v>2.6652527758755436E-2</v>
      </c>
      <c r="B54" t="s">
        <v>225</v>
      </c>
      <c r="C54" s="34">
        <f t="shared" ref="C54:C58" si="15">C$59*$A54</f>
        <v>252.76760963078226</v>
      </c>
      <c r="D54" s="34">
        <f t="shared" si="13"/>
        <v>259.38320025979641</v>
      </c>
      <c r="E54" s="34">
        <f t="shared" si="13"/>
        <v>265.9987908888105</v>
      </c>
      <c r="F54" s="34">
        <f t="shared" si="13"/>
        <v>272.6143815178246</v>
      </c>
      <c r="G54" s="34">
        <f t="shared" si="13"/>
        <v>279.22997214683869</v>
      </c>
      <c r="H54" s="34">
        <f t="shared" si="13"/>
        <v>285.84556277585284</v>
      </c>
      <c r="I54" s="34">
        <f t="shared" si="13"/>
        <v>292.46115340486688</v>
      </c>
      <c r="J54" s="34">
        <f t="shared" si="13"/>
        <v>299.07674403388103</v>
      </c>
      <c r="K54" s="34">
        <f t="shared" si="13"/>
        <v>305.69233466289518</v>
      </c>
      <c r="L54" s="34">
        <f t="shared" si="13"/>
        <v>307.99350428336999</v>
      </c>
      <c r="M54" s="34">
        <f t="shared" si="13"/>
        <v>310.29467390384491</v>
      </c>
      <c r="N54" s="34">
        <f t="shared" si="13"/>
        <v>312.59584352431966</v>
      </c>
      <c r="O54" s="34">
        <f t="shared" si="13"/>
        <v>314.89701314479453</v>
      </c>
      <c r="P54" s="34">
        <f t="shared" si="13"/>
        <v>317.19818276526934</v>
      </c>
      <c r="Q54" s="34">
        <f t="shared" si="13"/>
        <v>319.4993523857442</v>
      </c>
      <c r="R54" s="34">
        <f t="shared" si="13"/>
        <v>321.80052200621901</v>
      </c>
      <c r="S54" s="34">
        <f t="shared" si="14"/>
        <v>324.10169162669388</v>
      </c>
      <c r="T54" s="34">
        <f t="shared" si="14"/>
        <v>326.40286124716869</v>
      </c>
      <c r="U54" s="34">
        <f t="shared" si="14"/>
        <v>328.70403086764355</v>
      </c>
      <c r="V54" s="34">
        <f t="shared" si="14"/>
        <v>331.00520048811842</v>
      </c>
      <c r="W54" s="34">
        <f t="shared" si="14"/>
        <v>333.30637010859323</v>
      </c>
      <c r="X54" s="34">
        <f t="shared" si="14"/>
        <v>335.60753972906809</v>
      </c>
      <c r="Y54" s="34">
        <f t="shared" si="14"/>
        <v>337.90870934954296</v>
      </c>
      <c r="Z54" s="34">
        <f t="shared" si="14"/>
        <v>340.20987897001777</v>
      </c>
    </row>
    <row r="55" spans="1:26">
      <c r="A55" s="133">
        <f>I49</f>
        <v>0.32475030843863884</v>
      </c>
      <c r="B55" s="26" t="s">
        <v>230</v>
      </c>
      <c r="C55" s="34">
        <f t="shared" si="15"/>
        <v>3079.8714453614393</v>
      </c>
      <c r="D55" s="34">
        <f t="shared" si="13"/>
        <v>3160.4797507620538</v>
      </c>
      <c r="E55" s="34">
        <f t="shared" si="13"/>
        <v>3241.0880561626677</v>
      </c>
      <c r="F55" s="34">
        <f t="shared" si="13"/>
        <v>3321.6963615632817</v>
      </c>
      <c r="G55" s="34">
        <f t="shared" si="13"/>
        <v>3402.3046669638957</v>
      </c>
      <c r="H55" s="34">
        <f t="shared" si="13"/>
        <v>3482.9129723645101</v>
      </c>
      <c r="I55" s="34">
        <f t="shared" si="13"/>
        <v>3563.5212777651232</v>
      </c>
      <c r="J55" s="34">
        <f t="shared" si="13"/>
        <v>3644.129583165738</v>
      </c>
      <c r="K55" s="34">
        <f t="shared" si="13"/>
        <v>3724.7378885663525</v>
      </c>
      <c r="L55" s="34">
        <f t="shared" si="13"/>
        <v>3752.7767129053805</v>
      </c>
      <c r="M55" s="34">
        <f t="shared" si="13"/>
        <v>3780.8155372444103</v>
      </c>
      <c r="N55" s="34">
        <f t="shared" si="13"/>
        <v>3808.8543615834378</v>
      </c>
      <c r="O55" s="34">
        <f t="shared" si="13"/>
        <v>3836.8931859224672</v>
      </c>
      <c r="P55" s="34">
        <f t="shared" si="13"/>
        <v>3864.9320102614956</v>
      </c>
      <c r="Q55" s="34">
        <f t="shared" si="13"/>
        <v>3892.9708346005245</v>
      </c>
      <c r="R55" s="34">
        <f t="shared" si="13"/>
        <v>3921.0096589395525</v>
      </c>
      <c r="S55" s="34">
        <f t="shared" si="14"/>
        <v>3949.0484832785814</v>
      </c>
      <c r="T55" s="34">
        <f t="shared" si="14"/>
        <v>3977.0873076176099</v>
      </c>
      <c r="U55" s="34">
        <f t="shared" si="14"/>
        <v>4005.1261319566388</v>
      </c>
      <c r="V55" s="34">
        <f t="shared" si="14"/>
        <v>4033.1649562956677</v>
      </c>
      <c r="W55" s="34">
        <f t="shared" si="14"/>
        <v>4061.2037806346962</v>
      </c>
      <c r="X55" s="34">
        <f t="shared" si="14"/>
        <v>4089.2426049737255</v>
      </c>
      <c r="Y55" s="34">
        <f t="shared" si="14"/>
        <v>4117.281429312754</v>
      </c>
      <c r="Z55" s="34">
        <f t="shared" si="14"/>
        <v>4145.3202536517829</v>
      </c>
    </row>
    <row r="56" spans="1:26">
      <c r="A56" s="133">
        <f>F49</f>
        <v>6.8375179159721591E-2</v>
      </c>
      <c r="B56" s="26" t="s">
        <v>231</v>
      </c>
      <c r="C56" s="34">
        <f t="shared" si="15"/>
        <v>648.45746529995745</v>
      </c>
      <c r="D56" s="34">
        <f t="shared" si="13"/>
        <v>665.42929621222879</v>
      </c>
      <c r="E56" s="34">
        <f t="shared" si="13"/>
        <v>682.40112712450014</v>
      </c>
      <c r="F56" s="34">
        <f t="shared" si="13"/>
        <v>699.37295803677148</v>
      </c>
      <c r="G56" s="34">
        <f t="shared" si="13"/>
        <v>716.34478894904271</v>
      </c>
      <c r="H56" s="34">
        <f t="shared" si="13"/>
        <v>733.31661986131417</v>
      </c>
      <c r="I56" s="34">
        <f t="shared" si="13"/>
        <v>750.28845077358528</v>
      </c>
      <c r="J56" s="34">
        <f t="shared" si="13"/>
        <v>767.26028168585674</v>
      </c>
      <c r="K56" s="34">
        <f t="shared" si="13"/>
        <v>784.2321125981282</v>
      </c>
      <c r="L56" s="34">
        <f t="shared" si="13"/>
        <v>790.13560087140036</v>
      </c>
      <c r="M56" s="34">
        <f t="shared" si="13"/>
        <v>796.03908914467274</v>
      </c>
      <c r="N56" s="34">
        <f t="shared" si="13"/>
        <v>801.94257741794479</v>
      </c>
      <c r="O56" s="34">
        <f t="shared" si="13"/>
        <v>807.84606569121718</v>
      </c>
      <c r="P56" s="34">
        <f t="shared" si="13"/>
        <v>813.74955396448934</v>
      </c>
      <c r="Q56" s="34">
        <f t="shared" si="13"/>
        <v>819.65304223776161</v>
      </c>
      <c r="R56" s="34">
        <f t="shared" si="13"/>
        <v>825.55653051103377</v>
      </c>
      <c r="S56" s="34">
        <f t="shared" si="14"/>
        <v>831.46001878430604</v>
      </c>
      <c r="T56" s="34">
        <f t="shared" si="14"/>
        <v>837.3635070575782</v>
      </c>
      <c r="U56" s="34">
        <f t="shared" si="14"/>
        <v>843.26699533085048</v>
      </c>
      <c r="V56" s="34">
        <f t="shared" si="14"/>
        <v>849.17048360412275</v>
      </c>
      <c r="W56" s="34">
        <f t="shared" si="14"/>
        <v>855.07397187739491</v>
      </c>
      <c r="X56" s="34">
        <f t="shared" si="14"/>
        <v>860.97746015066741</v>
      </c>
      <c r="Y56" s="34">
        <f t="shared" si="14"/>
        <v>866.88094842393969</v>
      </c>
      <c r="Z56" s="34">
        <f t="shared" si="14"/>
        <v>872.78443669721185</v>
      </c>
    </row>
    <row r="57" spans="1:26">
      <c r="A57" s="133">
        <f>H49+L49+N49+O49</f>
        <v>2.8877937679071247E-2</v>
      </c>
      <c r="B57" t="s">
        <v>224</v>
      </c>
      <c r="C57" s="34">
        <f t="shared" si="15"/>
        <v>273.87298286586201</v>
      </c>
      <c r="D57" s="34">
        <f t="shared" si="13"/>
        <v>281.04095641134154</v>
      </c>
      <c r="E57" s="34">
        <f t="shared" si="13"/>
        <v>288.20892995682107</v>
      </c>
      <c r="F57" s="34">
        <f t="shared" si="13"/>
        <v>295.37690350230054</v>
      </c>
      <c r="G57" s="34">
        <f t="shared" si="13"/>
        <v>302.54487704778006</v>
      </c>
      <c r="H57" s="34">
        <f t="shared" si="13"/>
        <v>309.71285059325959</v>
      </c>
      <c r="I57" s="34">
        <f t="shared" si="13"/>
        <v>316.880824138739</v>
      </c>
      <c r="J57" s="34">
        <f t="shared" si="13"/>
        <v>324.04879768421858</v>
      </c>
      <c r="K57" s="34">
        <f t="shared" si="13"/>
        <v>331.21677122969811</v>
      </c>
      <c r="L57" s="34">
        <f t="shared" si="13"/>
        <v>333.71008193893147</v>
      </c>
      <c r="M57" s="34">
        <f t="shared" si="13"/>
        <v>336.20339264816488</v>
      </c>
      <c r="N57" s="34">
        <f t="shared" si="13"/>
        <v>338.69670335739818</v>
      </c>
      <c r="O57" s="34">
        <f t="shared" si="13"/>
        <v>341.19001406663159</v>
      </c>
      <c r="P57" s="34">
        <f t="shared" si="13"/>
        <v>343.68332477586495</v>
      </c>
      <c r="Q57" s="34">
        <f t="shared" si="13"/>
        <v>346.1766354850983</v>
      </c>
      <c r="R57" s="34">
        <f t="shared" si="13"/>
        <v>348.66994619433166</v>
      </c>
      <c r="S57" s="34">
        <f t="shared" si="14"/>
        <v>351.16325690356501</v>
      </c>
      <c r="T57" s="34">
        <f t="shared" si="14"/>
        <v>353.65656761279837</v>
      </c>
      <c r="U57" s="34">
        <f t="shared" si="14"/>
        <v>356.14987832203173</v>
      </c>
      <c r="V57" s="34">
        <f t="shared" si="14"/>
        <v>358.64318903126514</v>
      </c>
      <c r="W57" s="34">
        <f t="shared" si="14"/>
        <v>361.13649974049844</v>
      </c>
      <c r="X57" s="34">
        <f t="shared" si="14"/>
        <v>363.62981044973191</v>
      </c>
      <c r="Y57" s="34">
        <f t="shared" si="14"/>
        <v>366.12312115896526</v>
      </c>
      <c r="Z57" s="34">
        <f t="shared" si="14"/>
        <v>368.61643186819862</v>
      </c>
    </row>
    <row r="58" spans="1:26">
      <c r="A58" s="133">
        <f>P49+Q49+D49</f>
        <v>1.6473237880879014E-2</v>
      </c>
      <c r="B58" s="26" t="s">
        <v>229</v>
      </c>
      <c r="C58" s="34">
        <f t="shared" si="15"/>
        <v>156.22912016895609</v>
      </c>
      <c r="D58" s="34">
        <f t="shared" si="13"/>
        <v>160.31804558498774</v>
      </c>
      <c r="E58" s="34">
        <f t="shared" si="13"/>
        <v>164.40697100101937</v>
      </c>
      <c r="F58" s="34">
        <f t="shared" si="13"/>
        <v>168.49589641705097</v>
      </c>
      <c r="G58" s="34">
        <f t="shared" si="13"/>
        <v>172.5848218330826</v>
      </c>
      <c r="H58" s="34">
        <f t="shared" si="13"/>
        <v>176.67374724911423</v>
      </c>
      <c r="I58" s="34">
        <f t="shared" si="13"/>
        <v>180.76267266514583</v>
      </c>
      <c r="J58" s="34">
        <f t="shared" si="13"/>
        <v>184.85159808117749</v>
      </c>
      <c r="K58" s="34">
        <f t="shared" si="13"/>
        <v>188.94052349720911</v>
      </c>
      <c r="L58" s="34">
        <f t="shared" si="13"/>
        <v>190.36281690612907</v>
      </c>
      <c r="M58" s="34">
        <f t="shared" si="13"/>
        <v>191.78511031504905</v>
      </c>
      <c r="N58" s="34">
        <f t="shared" si="13"/>
        <v>193.20740372396898</v>
      </c>
      <c r="O58" s="34">
        <f t="shared" si="13"/>
        <v>194.62969713288896</v>
      </c>
      <c r="P58" s="34">
        <f t="shared" si="13"/>
        <v>196.05199054180892</v>
      </c>
      <c r="Q58" s="34">
        <f t="shared" si="13"/>
        <v>197.47428395072887</v>
      </c>
      <c r="R58" s="34">
        <f t="shared" si="13"/>
        <v>198.8965773596488</v>
      </c>
      <c r="S58" s="34">
        <f t="shared" si="14"/>
        <v>200.31887076856879</v>
      </c>
      <c r="T58" s="34">
        <f t="shared" si="14"/>
        <v>201.74116417748871</v>
      </c>
      <c r="U58" s="34">
        <f t="shared" si="14"/>
        <v>203.1634575864087</v>
      </c>
      <c r="V58" s="34">
        <f t="shared" si="14"/>
        <v>204.58575099532865</v>
      </c>
      <c r="W58" s="34">
        <f t="shared" si="14"/>
        <v>206.00804440424861</v>
      </c>
      <c r="X58" s="34">
        <f t="shared" si="14"/>
        <v>207.43033781316859</v>
      </c>
      <c r="Y58" s="34">
        <f t="shared" si="14"/>
        <v>208.85263122208858</v>
      </c>
      <c r="Z58" s="34">
        <f t="shared" si="14"/>
        <v>210.2749246310085</v>
      </c>
    </row>
    <row r="59" spans="1:26">
      <c r="A59" s="133">
        <f>SUM(A53:A58)</f>
        <v>0.92766012556370514</v>
      </c>
      <c r="B59" s="53"/>
      <c r="C59" s="34">
        <f>C$44*$A59</f>
        <v>9483.8137650094868</v>
      </c>
      <c r="D59" s="34">
        <f t="shared" ref="D59:Z59" si="16">D$44*$A59</f>
        <v>9732.0300201014979</v>
      </c>
      <c r="E59" s="34">
        <f t="shared" si="16"/>
        <v>9980.2462751935072</v>
      </c>
      <c r="F59" s="34">
        <f t="shared" si="16"/>
        <v>10228.462530285517</v>
      </c>
      <c r="G59" s="34">
        <f t="shared" si="16"/>
        <v>10476.678785377526</v>
      </c>
      <c r="H59" s="34">
        <f t="shared" si="16"/>
        <v>10724.895040469537</v>
      </c>
      <c r="I59" s="34">
        <f t="shared" si="16"/>
        <v>10973.111295561544</v>
      </c>
      <c r="J59" s="34">
        <f t="shared" si="16"/>
        <v>11221.327550653556</v>
      </c>
      <c r="K59" s="34">
        <f t="shared" si="16"/>
        <v>11469.543805745567</v>
      </c>
      <c r="L59" s="34">
        <f t="shared" si="16"/>
        <v>11555.883444570964</v>
      </c>
      <c r="M59" s="34">
        <f t="shared" si="16"/>
        <v>11642.223083396364</v>
      </c>
      <c r="N59" s="34">
        <f t="shared" si="16"/>
        <v>11728.562722221759</v>
      </c>
      <c r="O59" s="34">
        <f t="shared" si="16"/>
        <v>11814.90236104716</v>
      </c>
      <c r="P59" s="34">
        <f t="shared" si="16"/>
        <v>11901.241999872556</v>
      </c>
      <c r="Q59" s="34">
        <f t="shared" si="16"/>
        <v>11987.581638697955</v>
      </c>
      <c r="R59" s="34">
        <f t="shared" si="16"/>
        <v>12073.921277523352</v>
      </c>
      <c r="S59" s="34">
        <f t="shared" si="16"/>
        <v>12160.26091634875</v>
      </c>
      <c r="T59" s="34">
        <f t="shared" si="16"/>
        <v>12246.600555174147</v>
      </c>
      <c r="U59" s="34">
        <f t="shared" si="16"/>
        <v>12332.940193999546</v>
      </c>
      <c r="V59" s="34">
        <f t="shared" si="16"/>
        <v>12419.279832824945</v>
      </c>
      <c r="W59" s="34">
        <f t="shared" si="16"/>
        <v>12505.619471650341</v>
      </c>
      <c r="X59" s="34">
        <f t="shared" si="16"/>
        <v>12591.959110475742</v>
      </c>
      <c r="Y59" s="34">
        <f t="shared" si="16"/>
        <v>12678.298749301141</v>
      </c>
      <c r="Z59" s="34">
        <f t="shared" si="16"/>
        <v>12764.638388126537</v>
      </c>
    </row>
    <row r="61" spans="1:26">
      <c r="A61" s="26" t="s">
        <v>408</v>
      </c>
      <c r="G61"/>
      <c r="I61"/>
    </row>
    <row r="62" spans="1:26">
      <c r="B62" s="26" t="s">
        <v>585</v>
      </c>
      <c r="G62"/>
      <c r="I62"/>
    </row>
    <row r="63" spans="1:26">
      <c r="B63" s="250">
        <v>0.4</v>
      </c>
      <c r="C63">
        <f>B63*C44</f>
        <v>4089.3484601363111</v>
      </c>
      <c r="G63"/>
      <c r="I63"/>
    </row>
    <row r="64" spans="1:26">
      <c r="A64" s="5" t="s">
        <v>367</v>
      </c>
      <c r="G64"/>
      <c r="I64"/>
    </row>
    <row r="65" spans="1:26">
      <c r="A65" s="26" t="s">
        <v>366</v>
      </c>
      <c r="B65" s="26" t="s">
        <v>411</v>
      </c>
      <c r="G65"/>
      <c r="I65"/>
    </row>
    <row r="66" spans="1:26">
      <c r="B66" s="249">
        <v>300</v>
      </c>
      <c r="C66" s="349">
        <f>$B$63*C53*$B$66</f>
        <v>526386.8693693399</v>
      </c>
      <c r="D66" s="349">
        <f t="shared" ref="D66:Z66" si="17">$B$63*D53*$B$66</f>
        <v>540163.79294480337</v>
      </c>
      <c r="E66" s="349">
        <f t="shared" si="17"/>
        <v>553940.71652026684</v>
      </c>
      <c r="F66" s="349">
        <f t="shared" si="17"/>
        <v>567717.64009573031</v>
      </c>
      <c r="G66" s="349">
        <f t="shared" si="17"/>
        <v>581494.56367119378</v>
      </c>
      <c r="H66" s="349">
        <f t="shared" si="17"/>
        <v>595271.48724665737</v>
      </c>
      <c r="I66" s="349">
        <f t="shared" si="17"/>
        <v>609048.41082212073</v>
      </c>
      <c r="J66" s="349">
        <f t="shared" si="17"/>
        <v>622825.33439758432</v>
      </c>
      <c r="K66" s="349">
        <f t="shared" si="17"/>
        <v>636602.25797304779</v>
      </c>
      <c r="L66" s="349">
        <f t="shared" si="17"/>
        <v>641394.42843420361</v>
      </c>
      <c r="M66" s="349">
        <f t="shared" si="17"/>
        <v>646186.59889535944</v>
      </c>
      <c r="N66" s="349">
        <f t="shared" si="17"/>
        <v>650978.76935651503</v>
      </c>
      <c r="O66" s="349">
        <f t="shared" si="17"/>
        <v>655770.93981767097</v>
      </c>
      <c r="P66" s="349">
        <f t="shared" si="17"/>
        <v>660563.11027882667</v>
      </c>
      <c r="Q66" s="349">
        <f t="shared" si="17"/>
        <v>665355.28073998238</v>
      </c>
      <c r="R66" s="349">
        <f t="shared" si="17"/>
        <v>670147.45120113809</v>
      </c>
      <c r="S66" s="349">
        <f t="shared" si="17"/>
        <v>674939.62166229379</v>
      </c>
      <c r="T66" s="349">
        <f t="shared" si="17"/>
        <v>679731.7921234495</v>
      </c>
      <c r="U66" s="349">
        <f t="shared" si="17"/>
        <v>684523.96258460544</v>
      </c>
      <c r="V66" s="349">
        <f t="shared" si="17"/>
        <v>689316.13304576115</v>
      </c>
      <c r="W66" s="349">
        <f t="shared" si="17"/>
        <v>694108.30350691685</v>
      </c>
      <c r="X66" s="349">
        <f t="shared" si="17"/>
        <v>698900.47396807268</v>
      </c>
      <c r="Y66" s="349">
        <f t="shared" si="17"/>
        <v>703692.6444292285</v>
      </c>
      <c r="Z66" s="349">
        <f t="shared" si="17"/>
        <v>708484.81489038432</v>
      </c>
    </row>
    <row r="67" spans="1:26">
      <c r="A67" s="26" t="s">
        <v>412</v>
      </c>
      <c r="G67"/>
      <c r="I67"/>
    </row>
    <row r="68" spans="1:26">
      <c r="A68" s="248">
        <v>0.03</v>
      </c>
      <c r="B68" s="54" t="s">
        <v>425</v>
      </c>
      <c r="E68" s="208">
        <f>E66*$A$68</f>
        <v>16618.221495608006</v>
      </c>
      <c r="F68" s="208">
        <f t="shared" ref="F68:Z68" si="18">F66*$A$68</f>
        <v>17031.529202871909</v>
      </c>
      <c r="G68" s="208">
        <f t="shared" si="18"/>
        <v>17444.836910135811</v>
      </c>
      <c r="H68" s="208">
        <f t="shared" si="18"/>
        <v>17858.144617399721</v>
      </c>
      <c r="I68" s="208">
        <f t="shared" si="18"/>
        <v>18271.45232466362</v>
      </c>
      <c r="J68" s="208">
        <f t="shared" si="18"/>
        <v>18684.76003192753</v>
      </c>
      <c r="K68" s="208">
        <f t="shared" si="18"/>
        <v>19098.067739191432</v>
      </c>
      <c r="L68" s="208">
        <f t="shared" si="18"/>
        <v>19241.832853026106</v>
      </c>
      <c r="M68" s="208">
        <f t="shared" si="18"/>
        <v>19385.597966860783</v>
      </c>
      <c r="N68" s="208">
        <f t="shared" si="18"/>
        <v>19529.36308069545</v>
      </c>
      <c r="O68" s="208">
        <f t="shared" si="18"/>
        <v>19673.128194530127</v>
      </c>
      <c r="P68" s="208">
        <f t="shared" si="18"/>
        <v>19816.893308364801</v>
      </c>
      <c r="Q68" s="208">
        <f t="shared" si="18"/>
        <v>19960.658422199471</v>
      </c>
      <c r="R68" s="208">
        <f t="shared" si="18"/>
        <v>20104.423536034141</v>
      </c>
      <c r="S68" s="208">
        <f t="shared" si="18"/>
        <v>20248.188649868815</v>
      </c>
      <c r="T68" s="208">
        <f t="shared" si="18"/>
        <v>20391.953763703485</v>
      </c>
      <c r="U68" s="208">
        <f t="shared" si="18"/>
        <v>20535.718877538162</v>
      </c>
      <c r="V68" s="208">
        <f t="shared" si="18"/>
        <v>20679.483991372832</v>
      </c>
      <c r="W68" s="208">
        <f t="shared" si="18"/>
        <v>20823.249105207506</v>
      </c>
      <c r="X68" s="208">
        <f t="shared" si="18"/>
        <v>20967.014219042179</v>
      </c>
      <c r="Y68" s="208">
        <f t="shared" si="18"/>
        <v>21110.779332876853</v>
      </c>
      <c r="Z68" s="208">
        <f t="shared" si="18"/>
        <v>21254.54444671153</v>
      </c>
    </row>
    <row r="69" spans="1:26">
      <c r="A69" s="248">
        <v>0.02</v>
      </c>
      <c r="B69" s="78" t="s">
        <v>418</v>
      </c>
      <c r="E69" s="208">
        <f>E66*$A$69</f>
        <v>11078.814330405337</v>
      </c>
      <c r="F69" s="208">
        <f t="shared" ref="F69:Z69" si="19">F66*$A$69</f>
        <v>11354.352801914607</v>
      </c>
      <c r="G69" s="208">
        <f t="shared" si="19"/>
        <v>11629.891273423877</v>
      </c>
      <c r="H69" s="208">
        <f t="shared" si="19"/>
        <v>11905.429744933148</v>
      </c>
      <c r="I69" s="208">
        <f t="shared" si="19"/>
        <v>12180.968216442414</v>
      </c>
      <c r="J69" s="208">
        <f t="shared" si="19"/>
        <v>12456.506687951687</v>
      </c>
      <c r="K69" s="208">
        <f t="shared" si="19"/>
        <v>12732.045159460957</v>
      </c>
      <c r="L69" s="208">
        <f t="shared" si="19"/>
        <v>12827.888568684073</v>
      </c>
      <c r="M69" s="208">
        <f t="shared" si="19"/>
        <v>12923.73197790719</v>
      </c>
      <c r="N69" s="208">
        <f t="shared" si="19"/>
        <v>13019.5753871303</v>
      </c>
      <c r="O69" s="208">
        <f t="shared" si="19"/>
        <v>13115.41879635342</v>
      </c>
      <c r="P69" s="208">
        <f t="shared" si="19"/>
        <v>13211.262205576533</v>
      </c>
      <c r="Q69" s="208">
        <f t="shared" si="19"/>
        <v>13307.105614799648</v>
      </c>
      <c r="R69" s="208">
        <f t="shared" si="19"/>
        <v>13402.949024022762</v>
      </c>
      <c r="S69" s="208">
        <f t="shared" si="19"/>
        <v>13498.792433245877</v>
      </c>
      <c r="T69" s="208">
        <f t="shared" si="19"/>
        <v>13594.63584246899</v>
      </c>
      <c r="U69" s="208">
        <f t="shared" si="19"/>
        <v>13690.47925169211</v>
      </c>
      <c r="V69" s="208">
        <f t="shared" si="19"/>
        <v>13786.322660915223</v>
      </c>
      <c r="W69" s="208">
        <f t="shared" si="19"/>
        <v>13882.166070138337</v>
      </c>
      <c r="X69" s="208">
        <f t="shared" si="19"/>
        <v>13978.009479361453</v>
      </c>
      <c r="Y69" s="208">
        <f t="shared" si="19"/>
        <v>14073.85288858457</v>
      </c>
      <c r="Z69" s="208">
        <f t="shared" si="19"/>
        <v>14169.696297807686</v>
      </c>
    </row>
    <row r="70" spans="1:26">
      <c r="A70" s="70"/>
      <c r="B70" s="26"/>
      <c r="G70"/>
      <c r="I70"/>
    </row>
    <row r="71" spans="1:26">
      <c r="A71" s="5" t="s">
        <v>277</v>
      </c>
      <c r="G71"/>
      <c r="I71"/>
    </row>
    <row r="72" spans="1:26">
      <c r="A72" s="70" t="s">
        <v>366</v>
      </c>
      <c r="B72" s="26" t="s">
        <v>411</v>
      </c>
      <c r="C72" s="208"/>
      <c r="D72" s="208"/>
      <c r="E72" s="208"/>
      <c r="F72" s="208"/>
      <c r="G72" s="208"/>
      <c r="H72" s="208"/>
      <c r="I72" s="208"/>
      <c r="J72" s="208"/>
      <c r="K72" s="208"/>
      <c r="L72" s="208"/>
      <c r="M72" s="208"/>
      <c r="N72" s="208"/>
      <c r="O72" s="208"/>
      <c r="P72" s="208"/>
      <c r="Q72" s="208"/>
      <c r="R72" s="208"/>
      <c r="S72" s="208"/>
      <c r="T72" s="208"/>
      <c r="U72" s="208"/>
      <c r="V72" s="208"/>
      <c r="W72" s="208"/>
      <c r="X72" s="208"/>
      <c r="Y72" s="208"/>
      <c r="Z72" s="208"/>
    </row>
    <row r="73" spans="1:26">
      <c r="A73" s="70"/>
      <c r="B73" s="249">
        <v>300</v>
      </c>
      <c r="C73" s="349">
        <f>$B73*$B63*C54</f>
        <v>30332.113155693871</v>
      </c>
      <c r="D73" s="349">
        <f t="shared" ref="D73:Z73" si="20">$B73*$B63*D54</f>
        <v>31125.984031175569</v>
      </c>
      <c r="E73" s="349">
        <f t="shared" si="20"/>
        <v>31919.85490665726</v>
      </c>
      <c r="F73" s="349">
        <f t="shared" si="20"/>
        <v>32713.72578213895</v>
      </c>
      <c r="G73" s="349">
        <f t="shared" si="20"/>
        <v>33507.596657620641</v>
      </c>
      <c r="H73" s="349">
        <f t="shared" si="20"/>
        <v>34301.467533102339</v>
      </c>
      <c r="I73" s="349">
        <f t="shared" si="20"/>
        <v>35095.338408584023</v>
      </c>
      <c r="J73" s="349">
        <f t="shared" si="20"/>
        <v>35889.209284065721</v>
      </c>
      <c r="K73" s="349">
        <f t="shared" si="20"/>
        <v>36683.080159547419</v>
      </c>
      <c r="L73" s="349">
        <f t="shared" si="20"/>
        <v>36959.220514004395</v>
      </c>
      <c r="M73" s="349">
        <f t="shared" si="20"/>
        <v>37235.360868461386</v>
      </c>
      <c r="N73" s="349">
        <f t="shared" si="20"/>
        <v>37511.501222918363</v>
      </c>
      <c r="O73" s="349">
        <f t="shared" si="20"/>
        <v>37787.64157737534</v>
      </c>
      <c r="P73" s="349">
        <f t="shared" si="20"/>
        <v>38063.781931832324</v>
      </c>
      <c r="Q73" s="349">
        <f t="shared" si="20"/>
        <v>38339.922286289308</v>
      </c>
      <c r="R73" s="349">
        <f t="shared" si="20"/>
        <v>38616.062640746284</v>
      </c>
      <c r="S73" s="349">
        <f t="shared" si="20"/>
        <v>38892.202995203268</v>
      </c>
      <c r="T73" s="349">
        <f t="shared" si="20"/>
        <v>39168.343349660245</v>
      </c>
      <c r="U73" s="349">
        <f t="shared" si="20"/>
        <v>39444.483704117229</v>
      </c>
      <c r="V73" s="349">
        <f t="shared" si="20"/>
        <v>39720.624058574213</v>
      </c>
      <c r="W73" s="349">
        <f t="shared" si="20"/>
        <v>39996.764413031189</v>
      </c>
      <c r="X73" s="349">
        <f t="shared" si="20"/>
        <v>40272.904767488173</v>
      </c>
      <c r="Y73" s="349">
        <f t="shared" si="20"/>
        <v>40549.045121945157</v>
      </c>
      <c r="Z73" s="349">
        <f t="shared" si="20"/>
        <v>40825.185476402134</v>
      </c>
    </row>
    <row r="74" spans="1:26">
      <c r="A74" s="70"/>
      <c r="B74" s="249"/>
      <c r="C74" s="349"/>
      <c r="D74" s="349"/>
      <c r="E74" s="349"/>
      <c r="F74" s="349"/>
      <c r="G74" s="349"/>
      <c r="H74" s="349"/>
      <c r="I74" s="349"/>
      <c r="J74" s="349"/>
      <c r="K74" s="349"/>
      <c r="L74" s="349"/>
      <c r="M74" s="349"/>
      <c r="N74" s="349"/>
      <c r="O74" s="349"/>
      <c r="P74" s="349"/>
      <c r="Q74" s="349"/>
      <c r="R74" s="349"/>
      <c r="S74" s="349"/>
      <c r="T74" s="349"/>
      <c r="U74" s="349"/>
      <c r="V74" s="349"/>
      <c r="W74" s="349"/>
      <c r="X74" s="349"/>
      <c r="Y74" s="349"/>
      <c r="Z74" s="349"/>
    </row>
    <row r="75" spans="1:26">
      <c r="A75" s="248">
        <v>0.03</v>
      </c>
      <c r="B75" s="54" t="s">
        <v>433</v>
      </c>
      <c r="E75" s="208">
        <f>E73*$A$75</f>
        <v>957.59564719971775</v>
      </c>
      <c r="F75" s="208">
        <f t="shared" ref="F75:Z75" si="21">F73*$A$75</f>
        <v>981.4117734641685</v>
      </c>
      <c r="G75" s="208">
        <f t="shared" si="21"/>
        <v>1005.2278997286191</v>
      </c>
      <c r="H75" s="208">
        <f t="shared" si="21"/>
        <v>1029.0440259930701</v>
      </c>
      <c r="I75" s="208">
        <f t="shared" si="21"/>
        <v>1052.8601522575207</v>
      </c>
      <c r="J75" s="208">
        <f t="shared" si="21"/>
        <v>1076.6762785219717</v>
      </c>
      <c r="K75" s="208">
        <f t="shared" si="21"/>
        <v>1100.4924047864224</v>
      </c>
      <c r="L75" s="208">
        <f t="shared" si="21"/>
        <v>1108.7766154201317</v>
      </c>
      <c r="M75" s="208">
        <f t="shared" si="21"/>
        <v>1117.0608260538415</v>
      </c>
      <c r="N75" s="208">
        <f t="shared" si="21"/>
        <v>1125.3450366875509</v>
      </c>
      <c r="O75" s="208">
        <f t="shared" si="21"/>
        <v>1133.6292473212602</v>
      </c>
      <c r="P75" s="208">
        <f t="shared" si="21"/>
        <v>1141.9134579549698</v>
      </c>
      <c r="Q75" s="208">
        <f t="shared" si="21"/>
        <v>1150.1976685886791</v>
      </c>
      <c r="R75" s="208">
        <f t="shared" si="21"/>
        <v>1158.4818792223884</v>
      </c>
      <c r="S75" s="208">
        <f t="shared" si="21"/>
        <v>1166.766089856098</v>
      </c>
      <c r="T75" s="208">
        <f t="shared" si="21"/>
        <v>1175.0503004898073</v>
      </c>
      <c r="U75" s="208">
        <f t="shared" si="21"/>
        <v>1183.3345111235169</v>
      </c>
      <c r="V75" s="208">
        <f t="shared" si="21"/>
        <v>1191.6187217572262</v>
      </c>
      <c r="W75" s="208">
        <f t="shared" si="21"/>
        <v>1199.9029323909356</v>
      </c>
      <c r="X75" s="208">
        <f t="shared" si="21"/>
        <v>1208.1871430246451</v>
      </c>
      <c r="Y75" s="208">
        <f t="shared" si="21"/>
        <v>1216.4713536583547</v>
      </c>
      <c r="Z75" s="208">
        <f t="shared" si="21"/>
        <v>1224.755564292064</v>
      </c>
    </row>
    <row r="76" spans="1:26">
      <c r="A76" s="248">
        <v>0.02</v>
      </c>
      <c r="B76" s="78" t="s">
        <v>427</v>
      </c>
      <c r="E76" s="208">
        <f>E73*$A$76</f>
        <v>638.39709813314516</v>
      </c>
      <c r="F76" s="208">
        <f t="shared" ref="F76:Z76" si="22">F73*$A$76</f>
        <v>654.27451564277897</v>
      </c>
      <c r="G76" s="208">
        <f t="shared" si="22"/>
        <v>670.15193315241288</v>
      </c>
      <c r="H76" s="208">
        <f t="shared" si="22"/>
        <v>686.0293506620468</v>
      </c>
      <c r="I76" s="208">
        <f t="shared" si="22"/>
        <v>701.90676817168048</v>
      </c>
      <c r="J76" s="208">
        <f t="shared" si="22"/>
        <v>717.7841856813144</v>
      </c>
      <c r="K76" s="208">
        <f t="shared" si="22"/>
        <v>733.66160319094843</v>
      </c>
      <c r="L76" s="208">
        <f t="shared" si="22"/>
        <v>739.18441028008795</v>
      </c>
      <c r="M76" s="208">
        <f t="shared" si="22"/>
        <v>744.70721736922769</v>
      </c>
      <c r="N76" s="208">
        <f t="shared" si="22"/>
        <v>750.23002445836732</v>
      </c>
      <c r="O76" s="208">
        <f t="shared" si="22"/>
        <v>755.75283154750684</v>
      </c>
      <c r="P76" s="208">
        <f t="shared" si="22"/>
        <v>761.27563863664648</v>
      </c>
      <c r="Q76" s="208">
        <f t="shared" si="22"/>
        <v>766.79844572578622</v>
      </c>
      <c r="R76" s="208">
        <f t="shared" si="22"/>
        <v>772.32125281492574</v>
      </c>
      <c r="S76" s="208">
        <f t="shared" si="22"/>
        <v>777.84405990406538</v>
      </c>
      <c r="T76" s="208">
        <f t="shared" si="22"/>
        <v>783.36686699320489</v>
      </c>
      <c r="U76" s="208">
        <f t="shared" si="22"/>
        <v>788.88967408234464</v>
      </c>
      <c r="V76" s="208">
        <f t="shared" si="22"/>
        <v>794.41248117148427</v>
      </c>
      <c r="W76" s="208">
        <f t="shared" si="22"/>
        <v>799.93528826062379</v>
      </c>
      <c r="X76" s="208">
        <f t="shared" si="22"/>
        <v>805.45809534976343</v>
      </c>
      <c r="Y76" s="208">
        <f t="shared" si="22"/>
        <v>810.98090243890317</v>
      </c>
      <c r="Z76" s="208">
        <f t="shared" si="22"/>
        <v>816.50370952804269</v>
      </c>
    </row>
    <row r="88" spans="1:10" ht="15.75">
      <c r="A88" s="526" t="s">
        <v>353</v>
      </c>
      <c r="B88" s="526"/>
      <c r="C88" s="526"/>
      <c r="D88" s="526"/>
      <c r="E88" s="526"/>
      <c r="F88" s="526"/>
    </row>
    <row r="89" spans="1:10" ht="15.75">
      <c r="A89" s="526" t="s">
        <v>354</v>
      </c>
      <c r="B89" s="526"/>
      <c r="C89" s="526"/>
      <c r="D89" s="526"/>
      <c r="E89" s="526"/>
      <c r="F89" s="526"/>
      <c r="G89" s="200" t="s">
        <v>355</v>
      </c>
      <c r="I89" s="200" t="s">
        <v>356</v>
      </c>
    </row>
    <row r="90" spans="1:10">
      <c r="G90" s="200" t="s">
        <v>358</v>
      </c>
      <c r="H90" s="200" t="s">
        <v>357</v>
      </c>
      <c r="J90" s="200" t="s">
        <v>357</v>
      </c>
    </row>
    <row r="91" spans="1:10" s="76" customFormat="1" ht="15">
      <c r="A91" s="205"/>
      <c r="B91" s="207"/>
      <c r="C91" s="207"/>
      <c r="D91" s="207"/>
      <c r="E91" s="207"/>
      <c r="F91" s="207"/>
      <c r="G91" s="207"/>
      <c r="H91" s="209">
        <v>6.2199999999999998E-3</v>
      </c>
      <c r="I91" s="207"/>
      <c r="J91" s="209">
        <v>2.1600000000000001E-2</v>
      </c>
    </row>
    <row r="92" spans="1:10" ht="15">
      <c r="A92" s="192" t="s">
        <v>343</v>
      </c>
      <c r="B92" s="186" t="s">
        <v>344</v>
      </c>
      <c r="C92" s="187" t="s">
        <v>345</v>
      </c>
      <c r="D92" s="188">
        <v>10333</v>
      </c>
      <c r="E92" s="186">
        <v>11625</v>
      </c>
      <c r="F92" s="187">
        <v>14395</v>
      </c>
      <c r="G92" s="74">
        <f>E92-D92</f>
        <v>1292</v>
      </c>
      <c r="H92" s="208">
        <f>D92*((1+H91)^19)</f>
        <v>11624.984689295301</v>
      </c>
      <c r="I92" s="74">
        <f>F92-E92</f>
        <v>2770</v>
      </c>
      <c r="J92" s="208">
        <f>E92*((1+J91)^10)</f>
        <v>14394.673017995265</v>
      </c>
    </row>
    <row r="93" spans="1:10" ht="15">
      <c r="A93" s="201"/>
      <c r="B93" s="202"/>
      <c r="C93" s="203"/>
      <c r="D93" s="204"/>
      <c r="E93" s="202"/>
      <c r="F93" s="203"/>
      <c r="H93" s="209">
        <v>8.7100000000000007E-3</v>
      </c>
      <c r="J93" s="209">
        <v>3.2660000000000002E-2</v>
      </c>
    </row>
    <row r="94" spans="1:10" ht="15.75" thickBot="1">
      <c r="A94" s="194"/>
      <c r="B94" s="195" t="s">
        <v>346</v>
      </c>
      <c r="C94" s="196" t="s">
        <v>347</v>
      </c>
      <c r="D94" s="197">
        <v>5431</v>
      </c>
      <c r="E94" s="195">
        <v>6404</v>
      </c>
      <c r="F94" s="196">
        <v>8831</v>
      </c>
      <c r="G94" s="74">
        <f>E94-D94</f>
        <v>973</v>
      </c>
      <c r="H94" s="208">
        <f>D94*((1+H93)^19)</f>
        <v>6403.8330674172666</v>
      </c>
      <c r="I94" s="74">
        <f>F94-E94</f>
        <v>2427</v>
      </c>
      <c r="J94" s="208">
        <f>E94*((1+J93)^10)</f>
        <v>8831.304780076649</v>
      </c>
    </row>
    <row r="95" spans="1:10" ht="13.5" thickTop="1"/>
    <row r="96" spans="1:10">
      <c r="B96" s="198"/>
    </row>
    <row r="97" spans="1:2">
      <c r="A97" t="s">
        <v>348</v>
      </c>
      <c r="B97" s="198"/>
    </row>
    <row r="98" spans="1:2">
      <c r="A98" t="s">
        <v>349</v>
      </c>
    </row>
    <row r="99" spans="1:2">
      <c r="A99" t="s">
        <v>350</v>
      </c>
    </row>
    <row r="100" spans="1:2">
      <c r="A100" t="s">
        <v>351</v>
      </c>
    </row>
  </sheetData>
  <mergeCells count="5">
    <mergeCell ref="A36:A37"/>
    <mergeCell ref="B36:E36"/>
    <mergeCell ref="F36:I36"/>
    <mergeCell ref="A88:F88"/>
    <mergeCell ref="A89:F89"/>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BA252"/>
  <sheetViews>
    <sheetView topLeftCell="A128" zoomScale="75" zoomScaleNormal="75" workbookViewId="0">
      <selection activeCell="C161" sqref="C161"/>
    </sheetView>
  </sheetViews>
  <sheetFormatPr defaultRowHeight="12.75"/>
  <cols>
    <col min="1" max="1" width="18.28515625" customWidth="1"/>
    <col min="2" max="2" width="23.140625" customWidth="1"/>
    <col min="3" max="3" width="52.140625" style="53" customWidth="1"/>
    <col min="4" max="4" width="12.5703125" customWidth="1"/>
    <col min="5" max="5" width="14" style="25" bestFit="1" customWidth="1"/>
    <col min="6" max="6" width="13.42578125" style="25" customWidth="1"/>
    <col min="7" max="7" width="17" style="76" bestFit="1" customWidth="1"/>
    <col min="8" max="8" width="17.71093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c r="K5" s="312"/>
      <c r="L5" s="312"/>
      <c r="M5" s="312"/>
      <c r="N5" s="312"/>
      <c r="O5" s="312"/>
      <c r="P5" s="312"/>
      <c r="Q5" s="312"/>
      <c r="R5" s="312"/>
      <c r="S5" s="312"/>
      <c r="T5" s="312"/>
      <c r="U5" s="312"/>
      <c r="V5" s="312"/>
      <c r="W5" s="312"/>
      <c r="X5" s="312"/>
      <c r="Y5" s="312"/>
      <c r="Z5" s="312"/>
      <c r="AA5" s="312"/>
      <c r="AB5" s="312"/>
      <c r="AC5" s="407"/>
      <c r="AD5" s="359"/>
    </row>
    <row r="6" spans="1:33">
      <c r="A6" s="44"/>
      <c r="B6" s="44"/>
      <c r="C6" s="55" t="s">
        <v>404</v>
      </c>
      <c r="D6" s="226"/>
      <c r="E6" s="234"/>
      <c r="F6" s="312">
        <v>-37500</v>
      </c>
      <c r="G6" s="312">
        <v>-672750</v>
      </c>
      <c r="I6" s="312"/>
      <c r="K6" s="312"/>
      <c r="L6" s="312"/>
      <c r="M6" s="312"/>
      <c r="N6" s="312"/>
      <c r="O6" s="312"/>
      <c r="P6" s="312"/>
      <c r="Q6" s="312"/>
      <c r="R6" s="312"/>
      <c r="S6" s="312"/>
      <c r="T6" s="312"/>
      <c r="U6" s="312"/>
      <c r="V6" s="312"/>
      <c r="W6" s="312"/>
      <c r="X6" s="312"/>
      <c r="Y6" s="312"/>
      <c r="Z6" s="312"/>
      <c r="AA6" s="312"/>
      <c r="AB6" s="312"/>
      <c r="AC6" s="407"/>
      <c r="AD6" s="359"/>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ref="AD7:AD49" si="0">SUM(F7:AC7)</f>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404"/>
      <c r="AC9" s="283"/>
      <c r="AD9" s="361">
        <f t="shared" si="0"/>
        <v>0</v>
      </c>
    </row>
    <row r="10" spans="1:33" s="53" customFormat="1" ht="12">
      <c r="A10" s="58"/>
      <c r="B10" s="70" t="s">
        <v>463</v>
      </c>
      <c r="C10" s="70" t="s">
        <v>366</v>
      </c>
      <c r="D10" s="228"/>
      <c r="E10" s="235"/>
      <c r="F10" s="59">
        <f>'WH Users'!C5</f>
        <v>0</v>
      </c>
      <c r="G10" s="59">
        <f>'WH Users'!D5</f>
        <v>83330.981401877376</v>
      </c>
      <c r="H10" s="59">
        <f>'WH Users'!E5</f>
        <v>337171.44474441936</v>
      </c>
      <c r="I10" s="59">
        <f>'WH Users'!F5</f>
        <v>341018.96388132917</v>
      </c>
      <c r="J10" s="59">
        <f>'WH Users'!G5</f>
        <v>344866.48301823897</v>
      </c>
      <c r="K10" s="59">
        <f>'WH Users'!H5</f>
        <v>348714.00215514877</v>
      </c>
      <c r="L10" s="59">
        <f>'WH Users'!I5</f>
        <v>352561.52129205863</v>
      </c>
      <c r="M10" s="59">
        <f>'WH Users'!J5</f>
        <v>356409.04042896844</v>
      </c>
      <c r="N10" s="59">
        <f>'WH Users'!K5</f>
        <v>360256.55956587818</v>
      </c>
      <c r="O10" s="59">
        <f>'WH Users'!L5</f>
        <v>362647.79793174169</v>
      </c>
      <c r="P10" s="59">
        <f>'WH Users'!M5</f>
        <v>365039.0362976052</v>
      </c>
      <c r="Q10" s="59">
        <f>'WH Users'!N5</f>
        <v>367430.27466346859</v>
      </c>
      <c r="R10" s="59">
        <f>'WH Users'!O5</f>
        <v>369821.51302933216</v>
      </c>
      <c r="S10" s="59">
        <f>'WH Users'!P5</f>
        <v>372212.75139519549</v>
      </c>
      <c r="T10" s="59">
        <f>'WH Users'!Q5</f>
        <v>374603.989761059</v>
      </c>
      <c r="U10" s="59">
        <f>'WH Users'!R5</f>
        <v>376995.22812692251</v>
      </c>
      <c r="V10" s="59">
        <f>'WH Users'!S5</f>
        <v>379386.46649278596</v>
      </c>
      <c r="W10" s="59">
        <f>'WH Users'!T5</f>
        <v>381777.70485864941</v>
      </c>
      <c r="X10" s="59">
        <f>'WH Users'!U5</f>
        <v>384168.94322451291</v>
      </c>
      <c r="Y10" s="59">
        <f>'WH Users'!V5</f>
        <v>386560.18159037631</v>
      </c>
      <c r="Z10" s="59">
        <f>'WH Users'!W5</f>
        <v>388951.41995623976</v>
      </c>
      <c r="AA10" s="59">
        <f>'WH Users'!X5</f>
        <v>391342.65832210321</v>
      </c>
      <c r="AB10" s="59">
        <f>'WH Users'!Y5</f>
        <v>393733.89668796671</v>
      </c>
      <c r="AC10" s="284">
        <f>'WH Users'!Z5</f>
        <v>396125.13505383022</v>
      </c>
      <c r="AD10" s="362">
        <f t="shared" si="0"/>
        <v>8215125.9938797103</v>
      </c>
    </row>
    <row r="11" spans="1:33" s="53" customFormat="1" ht="12">
      <c r="A11" s="58"/>
      <c r="B11" s="70" t="s">
        <v>462</v>
      </c>
      <c r="C11" s="54" t="s">
        <v>431</v>
      </c>
      <c r="D11" s="228"/>
      <c r="E11" s="235"/>
      <c r="F11" s="59">
        <f>'WH Users'!C6</f>
        <v>0</v>
      </c>
      <c r="G11" s="59">
        <f>'WH Users'!D6</f>
        <v>1666.6196280375475</v>
      </c>
      <c r="H11" s="59">
        <f>'WH Users'!E6</f>
        <v>6743.4288948883877</v>
      </c>
      <c r="I11" s="59">
        <f>'WH Users'!F6</f>
        <v>6820.3792776265836</v>
      </c>
      <c r="J11" s="59">
        <f>'WH Users'!G6</f>
        <v>6897.3296603647796</v>
      </c>
      <c r="K11" s="59">
        <f>'WH Users'!H6</f>
        <v>6974.2800431029755</v>
      </c>
      <c r="L11" s="59">
        <f>'WH Users'!I6</f>
        <v>7051.2304258411732</v>
      </c>
      <c r="M11" s="59">
        <f>'WH Users'!J6</f>
        <v>7128.1808085793691</v>
      </c>
      <c r="N11" s="59">
        <f>'WH Users'!K6</f>
        <v>7205.1311913175641</v>
      </c>
      <c r="O11" s="59">
        <f>'WH Users'!L6</f>
        <v>7252.9559586348341</v>
      </c>
      <c r="P11" s="59">
        <f>'WH Users'!M6</f>
        <v>7300.7807259521041</v>
      </c>
      <c r="Q11" s="59">
        <f>'WH Users'!N6</f>
        <v>7348.6054932693723</v>
      </c>
      <c r="R11" s="59">
        <f>'WH Users'!O6</f>
        <v>7396.4302605866433</v>
      </c>
      <c r="S11" s="59">
        <f>'WH Users'!P6</f>
        <v>7444.2550279039096</v>
      </c>
      <c r="T11" s="59">
        <f>'WH Users'!Q6</f>
        <v>7492.0797952211797</v>
      </c>
      <c r="U11" s="59">
        <f>'WH Users'!R6</f>
        <v>7539.9045625384506</v>
      </c>
      <c r="V11" s="59">
        <f>'WH Users'!S6</f>
        <v>7587.7293298557197</v>
      </c>
      <c r="W11" s="59">
        <f>'WH Users'!T6</f>
        <v>7635.5540971729879</v>
      </c>
      <c r="X11" s="59">
        <f>'WH Users'!U6</f>
        <v>7683.3788644902588</v>
      </c>
      <c r="Y11" s="59">
        <f>'WH Users'!V6</f>
        <v>7731.2036318075261</v>
      </c>
      <c r="Z11" s="59">
        <f>'WH Users'!W6</f>
        <v>7779.0283991247952</v>
      </c>
      <c r="AA11" s="59">
        <f>'WH Users'!X6</f>
        <v>7826.8531664420643</v>
      </c>
      <c r="AB11" s="59">
        <f>'WH Users'!Y6</f>
        <v>7874.6779337593343</v>
      </c>
      <c r="AC11" s="284">
        <f>'WH Users'!Z6</f>
        <v>7922.5027010766044</v>
      </c>
      <c r="AD11" s="362">
        <f t="shared" si="0"/>
        <v>164302.51987759417</v>
      </c>
    </row>
    <row r="12" spans="1:33" s="53" customFormat="1" ht="12">
      <c r="A12" s="58"/>
      <c r="B12" s="70"/>
      <c r="C12" s="78" t="s">
        <v>418</v>
      </c>
      <c r="D12" s="228"/>
      <c r="E12" s="235"/>
      <c r="F12" s="59">
        <f>'WH Users'!C7</f>
        <v>0</v>
      </c>
      <c r="G12" s="59">
        <f>'WH Users'!D7</f>
        <v>833.30981401877375</v>
      </c>
      <c r="H12" s="59">
        <f>'WH Users'!E7</f>
        <v>3371.7144474441939</v>
      </c>
      <c r="I12" s="59">
        <f>'WH Users'!F7</f>
        <v>3410.1896388132918</v>
      </c>
      <c r="J12" s="59">
        <f>'WH Users'!G7</f>
        <v>3448.6648301823898</v>
      </c>
      <c r="K12" s="59">
        <f>'WH Users'!H7</f>
        <v>3487.1400215514877</v>
      </c>
      <c r="L12" s="59">
        <f>'WH Users'!I7</f>
        <v>3525.6152129205866</v>
      </c>
      <c r="M12" s="59">
        <f>'WH Users'!J7</f>
        <v>3564.0904042896846</v>
      </c>
      <c r="N12" s="59">
        <f>'WH Users'!K7</f>
        <v>3602.5655956587821</v>
      </c>
      <c r="O12" s="59">
        <f>'WH Users'!L7</f>
        <v>3626.4779793174171</v>
      </c>
      <c r="P12" s="59">
        <f>'WH Users'!M7</f>
        <v>3650.3903629760521</v>
      </c>
      <c r="Q12" s="59">
        <f>'WH Users'!N7</f>
        <v>3674.3027466346862</v>
      </c>
      <c r="R12" s="59">
        <f>'WH Users'!O7</f>
        <v>3698.2151302933216</v>
      </c>
      <c r="S12" s="59">
        <f>'WH Users'!P7</f>
        <v>3722.1275139519548</v>
      </c>
      <c r="T12" s="59">
        <f>'WH Users'!Q7</f>
        <v>3746.0398976105898</v>
      </c>
      <c r="U12" s="59">
        <f>'WH Users'!R7</f>
        <v>3769.9522812692253</v>
      </c>
      <c r="V12" s="59">
        <f>'WH Users'!S7</f>
        <v>3793.8646649278598</v>
      </c>
      <c r="W12" s="59">
        <f>'WH Users'!T7</f>
        <v>3817.7770485864939</v>
      </c>
      <c r="X12" s="59">
        <f>'WH Users'!U7</f>
        <v>3841.6894322451294</v>
      </c>
      <c r="Y12" s="59">
        <f>'WH Users'!V7</f>
        <v>3865.6018159037631</v>
      </c>
      <c r="Z12" s="59">
        <f>'WH Users'!W7</f>
        <v>3889.5141995623976</v>
      </c>
      <c r="AA12" s="59">
        <f>'WH Users'!X7</f>
        <v>3913.4265832210322</v>
      </c>
      <c r="AB12" s="59">
        <f>'WH Users'!Y7</f>
        <v>3937.3389668796672</v>
      </c>
      <c r="AC12" s="284">
        <f>'WH Users'!Z7</f>
        <v>3961.2513505383022</v>
      </c>
      <c r="AD12" s="362">
        <f t="shared" si="0"/>
        <v>82151.259938797084</v>
      </c>
    </row>
    <row r="13" spans="1:33" s="53" customFormat="1" ht="12">
      <c r="A13" s="58"/>
      <c r="B13" s="70"/>
      <c r="D13" s="228"/>
      <c r="E13" s="235"/>
      <c r="AC13" s="283"/>
      <c r="AD13" s="362">
        <f t="shared" si="0"/>
        <v>0</v>
      </c>
    </row>
    <row r="14" spans="1:33" s="53" customFormat="1" ht="12">
      <c r="A14" s="58"/>
      <c r="B14" s="5" t="s">
        <v>277</v>
      </c>
      <c r="D14" s="228"/>
      <c r="E14" s="235"/>
      <c r="AC14" s="283"/>
      <c r="AD14" s="362">
        <f t="shared" si="0"/>
        <v>0</v>
      </c>
    </row>
    <row r="15" spans="1:33" s="53" customFormat="1" ht="12">
      <c r="A15" s="58"/>
      <c r="B15" s="70" t="s">
        <v>463</v>
      </c>
      <c r="C15" s="70" t="s">
        <v>366</v>
      </c>
      <c r="D15" s="228"/>
      <c r="E15" s="235"/>
      <c r="F15" s="59">
        <f>'WH Users'!C11</f>
        <v>0</v>
      </c>
      <c r="G15" s="59">
        <f>'WH Users'!D11</f>
        <v>10083.910863008188</v>
      </c>
      <c r="H15" s="59">
        <f>'WH Users'!E11</f>
        <v>40801.233072695053</v>
      </c>
      <c r="I15" s="59">
        <f>'WH Users'!F11</f>
        <v>41266.822693357346</v>
      </c>
      <c r="J15" s="59">
        <f>'WH Users'!G11</f>
        <v>41732.412314019639</v>
      </c>
      <c r="K15" s="59">
        <f>'WH Users'!H11</f>
        <v>42198.001934681932</v>
      </c>
      <c r="L15" s="59">
        <f>'WH Users'!I11</f>
        <v>42663.591555344232</v>
      </c>
      <c r="M15" s="59">
        <f>'WH Users'!J11</f>
        <v>43129.181176006517</v>
      </c>
      <c r="N15" s="59">
        <f>'WH Users'!K11</f>
        <v>43594.770796668818</v>
      </c>
      <c r="O15" s="59">
        <f>'WH Users'!L11</f>
        <v>43884.135377859609</v>
      </c>
      <c r="P15" s="59">
        <f>'WH Users'!M11</f>
        <v>44173.499959050416</v>
      </c>
      <c r="Q15" s="59">
        <f>'WH Users'!N11</f>
        <v>44462.864540241215</v>
      </c>
      <c r="R15" s="59">
        <f>'WH Users'!O11</f>
        <v>44752.229121432021</v>
      </c>
      <c r="S15" s="59">
        <f>'WH Users'!P11</f>
        <v>45041.593702622806</v>
      </c>
      <c r="T15" s="59">
        <f>'WH Users'!Q11</f>
        <v>45330.958283813612</v>
      </c>
      <c r="U15" s="59">
        <f>'WH Users'!R11</f>
        <v>45620.322865004411</v>
      </c>
      <c r="V15" s="59">
        <f>'WH Users'!S11</f>
        <v>45909.68744619521</v>
      </c>
      <c r="W15" s="59">
        <f>'WH Users'!T11</f>
        <v>46199.052027386017</v>
      </c>
      <c r="X15" s="59">
        <f>'WH Users'!U11</f>
        <v>46488.416608576808</v>
      </c>
      <c r="Y15" s="59">
        <f>'WH Users'!V11</f>
        <v>46777.781189767607</v>
      </c>
      <c r="Z15" s="59">
        <f>'WH Users'!W11</f>
        <v>47067.145770958414</v>
      </c>
      <c r="AA15" s="59">
        <f>'WH Users'!X11</f>
        <v>47356.510352149198</v>
      </c>
      <c r="AB15" s="59">
        <f>'WH Users'!Y11</f>
        <v>47645.874933340005</v>
      </c>
      <c r="AC15" s="284">
        <f>'WH Users'!Z11</f>
        <v>47935.239514530804</v>
      </c>
      <c r="AD15" s="362">
        <f t="shared" si="0"/>
        <v>994115.23609870975</v>
      </c>
      <c r="AG15" s="390"/>
    </row>
    <row r="16" spans="1:33" s="53" customFormat="1" ht="12">
      <c r="A16" s="58"/>
      <c r="B16" s="70" t="s">
        <v>462</v>
      </c>
      <c r="C16" s="54" t="s">
        <v>433</v>
      </c>
      <c r="D16" s="228"/>
      <c r="E16" s="235"/>
      <c r="F16" s="59">
        <f>'WH Users'!C12</f>
        <v>0</v>
      </c>
      <c r="G16" s="59">
        <f>'WH Users'!D12</f>
        <v>1008.3910863008189</v>
      </c>
      <c r="H16" s="59">
        <f>'WH Users'!E12</f>
        <v>4080.1233072695054</v>
      </c>
      <c r="I16" s="59">
        <f>'WH Users'!F12</f>
        <v>4126.6822693357344</v>
      </c>
      <c r="J16" s="59">
        <f>'WH Users'!G12</f>
        <v>4173.2412314019639</v>
      </c>
      <c r="K16" s="59">
        <f>'WH Users'!H12</f>
        <v>4219.8001934681934</v>
      </c>
      <c r="L16" s="59">
        <f>'WH Users'!I12</f>
        <v>4266.3591555344237</v>
      </c>
      <c r="M16" s="59">
        <f>'WH Users'!J12</f>
        <v>4312.9181176006523</v>
      </c>
      <c r="N16" s="59">
        <f>'WH Users'!K12</f>
        <v>4359.4770796668818</v>
      </c>
      <c r="O16" s="59">
        <f>'WH Users'!L12</f>
        <v>4388.4135377859611</v>
      </c>
      <c r="P16" s="59">
        <f>'WH Users'!M12</f>
        <v>4417.3499959050414</v>
      </c>
      <c r="Q16" s="59">
        <f>'WH Users'!N12</f>
        <v>4446.2864540241217</v>
      </c>
      <c r="R16" s="59">
        <f>'WH Users'!O12</f>
        <v>4475.2229121432019</v>
      </c>
      <c r="S16" s="59">
        <f>'WH Users'!P12</f>
        <v>4504.1593702622804</v>
      </c>
      <c r="T16" s="59">
        <f>'WH Users'!Q12</f>
        <v>4533.0958283813616</v>
      </c>
      <c r="U16" s="59">
        <f>'WH Users'!R12</f>
        <v>4562.0322865004409</v>
      </c>
      <c r="V16" s="59">
        <f>'WH Users'!S12</f>
        <v>4590.9687446195212</v>
      </c>
      <c r="W16" s="59">
        <f>'WH Users'!T12</f>
        <v>4619.9052027386015</v>
      </c>
      <c r="X16" s="59">
        <f>'WH Users'!U12</f>
        <v>4648.8416608576808</v>
      </c>
      <c r="Y16" s="59">
        <f>'WH Users'!V12</f>
        <v>4677.7781189767611</v>
      </c>
      <c r="Z16" s="59">
        <f>'WH Users'!W12</f>
        <v>4706.7145770958414</v>
      </c>
      <c r="AA16" s="59">
        <f>'WH Users'!X12</f>
        <v>4735.6510352149198</v>
      </c>
      <c r="AB16" s="59">
        <f>'WH Users'!Y12</f>
        <v>4764.587493334001</v>
      </c>
      <c r="AC16" s="284">
        <f>'WH Users'!Z12</f>
        <v>4793.5239514530804</v>
      </c>
      <c r="AD16" s="362">
        <f t="shared" si="0"/>
        <v>99411.523609870987</v>
      </c>
      <c r="AG16" s="390"/>
    </row>
    <row r="17" spans="1:33" s="53" customFormat="1" ht="12">
      <c r="A17" s="58"/>
      <c r="B17" s="70"/>
      <c r="C17" s="78" t="s">
        <v>427</v>
      </c>
      <c r="D17" s="228"/>
      <c r="E17" s="235"/>
      <c r="F17" s="59">
        <f>'WH Users'!C13</f>
        <v>0</v>
      </c>
      <c r="G17" s="59">
        <f>'WH Users'!D13</f>
        <v>504.19554315040943</v>
      </c>
      <c r="H17" s="59">
        <f>'WH Users'!E13</f>
        <v>2040.0616536347527</v>
      </c>
      <c r="I17" s="59">
        <f>'WH Users'!F13</f>
        <v>2063.3411346678672</v>
      </c>
      <c r="J17" s="59">
        <f>'WH Users'!G13</f>
        <v>2086.6206157009819</v>
      </c>
      <c r="K17" s="59">
        <f>'WH Users'!H13</f>
        <v>2109.9000967340967</v>
      </c>
      <c r="L17" s="59">
        <f>'WH Users'!I13</f>
        <v>2133.1795777672119</v>
      </c>
      <c r="M17" s="59">
        <f>'WH Users'!J13</f>
        <v>2156.4590588003261</v>
      </c>
      <c r="N17" s="59">
        <f>'WH Users'!K13</f>
        <v>2179.7385398334409</v>
      </c>
      <c r="O17" s="59">
        <f>'WH Users'!L13</f>
        <v>2194.2067688929806</v>
      </c>
      <c r="P17" s="59">
        <f>'WH Users'!M13</f>
        <v>2208.6749979525207</v>
      </c>
      <c r="Q17" s="59">
        <f>'WH Users'!N13</f>
        <v>2223.1432270120608</v>
      </c>
      <c r="R17" s="59">
        <f>'WH Users'!O13</f>
        <v>2237.611456071601</v>
      </c>
      <c r="S17" s="59">
        <f>'WH Users'!P13</f>
        <v>2252.0796851311402</v>
      </c>
      <c r="T17" s="59">
        <f>'WH Users'!Q13</f>
        <v>2266.5479141906808</v>
      </c>
      <c r="U17" s="59">
        <f>'WH Users'!R13</f>
        <v>2281.0161432502205</v>
      </c>
      <c r="V17" s="59">
        <f>'WH Users'!S13</f>
        <v>2295.4843723097606</v>
      </c>
      <c r="W17" s="59">
        <f>'WH Users'!T13</f>
        <v>2309.9526013693007</v>
      </c>
      <c r="X17" s="59">
        <f>'WH Users'!U13</f>
        <v>2324.4208304288404</v>
      </c>
      <c r="Y17" s="59">
        <f>'WH Users'!V13</f>
        <v>2338.8890594883806</v>
      </c>
      <c r="Z17" s="59">
        <f>'WH Users'!W13</f>
        <v>2353.3572885479207</v>
      </c>
      <c r="AA17" s="59">
        <f>'WH Users'!X13</f>
        <v>2367.8255176074599</v>
      </c>
      <c r="AB17" s="59">
        <f>'WH Users'!Y13</f>
        <v>2382.2937466670005</v>
      </c>
      <c r="AC17" s="284">
        <f>'WH Users'!Z13</f>
        <v>2396.7619757265402</v>
      </c>
      <c r="AD17" s="362">
        <f t="shared" si="0"/>
        <v>49705.761804935493</v>
      </c>
      <c r="AG17" s="70" t="s">
        <v>570</v>
      </c>
    </row>
    <row r="18" spans="1:33" s="53" customFormat="1" ht="12">
      <c r="A18" s="58"/>
      <c r="B18" s="70"/>
      <c r="C18" s="48"/>
      <c r="D18" s="228"/>
      <c r="E18" s="235"/>
      <c r="AC18" s="283"/>
      <c r="AD18" s="362">
        <f t="shared" si="0"/>
        <v>0</v>
      </c>
      <c r="AG18" s="391">
        <f>AD39+AD51+AD58</f>
        <v>3026908.3985637147</v>
      </c>
    </row>
    <row r="19" spans="1:33" s="53" customFormat="1" ht="12">
      <c r="A19" s="58"/>
      <c r="B19" s="70"/>
      <c r="C19" s="58" t="s">
        <v>436</v>
      </c>
      <c r="D19" s="228"/>
      <c r="E19" s="235"/>
      <c r="AC19" s="283"/>
      <c r="AD19" s="361">
        <f t="shared" si="0"/>
        <v>0</v>
      </c>
      <c r="AG19" s="308" t="e">
        <f>+#REF!+#REF!+#REF!+AD160+AD158</f>
        <v>#REF!</v>
      </c>
    </row>
    <row r="20" spans="1:33" s="53" customFormat="1" ht="12">
      <c r="A20" s="58"/>
      <c r="B20" s="70"/>
      <c r="C20" s="78" t="s">
        <v>505</v>
      </c>
      <c r="D20" s="228"/>
      <c r="E20" s="235"/>
      <c r="F20" s="299">
        <f>'WH Users'!C18</f>
        <v>0</v>
      </c>
      <c r="G20" s="299">
        <f>'WH Users'!D18</f>
        <v>4012.516071507549</v>
      </c>
      <c r="H20" s="299">
        <f>'WH Users'!E18</f>
        <v>16235.32830323684</v>
      </c>
      <c r="I20" s="299">
        <f>'WH Users'!F18</f>
        <v>16420.592320443477</v>
      </c>
      <c r="J20" s="299">
        <f>'WH Users'!G18</f>
        <v>16605.856337650115</v>
      </c>
      <c r="K20" s="299">
        <f>'WH Users'!H18</f>
        <v>16791.120354856754</v>
      </c>
      <c r="L20" s="299">
        <f>'WH Users'!I18</f>
        <v>16976.384372063396</v>
      </c>
      <c r="M20" s="299">
        <f>'WH Users'!J18</f>
        <v>17161.648389270034</v>
      </c>
      <c r="N20" s="299">
        <f>'WH Users'!K18</f>
        <v>17346.912406476669</v>
      </c>
      <c r="O20" s="299">
        <f>'WH Users'!L18</f>
        <v>17462.054244631196</v>
      </c>
      <c r="P20" s="299">
        <f>'WH Users'!M18</f>
        <v>17577.196082785718</v>
      </c>
      <c r="Q20" s="299">
        <f>'WH Users'!N18</f>
        <v>17692.337920940241</v>
      </c>
      <c r="R20" s="299">
        <f>'WH Users'!O18</f>
        <v>17807.479759094767</v>
      </c>
      <c r="S20" s="299">
        <f>'WH Users'!P18</f>
        <v>17922.621597249283</v>
      </c>
      <c r="T20" s="299">
        <f>'WH Users'!Q18</f>
        <v>18037.763435403813</v>
      </c>
      <c r="U20" s="299">
        <f>'WH Users'!R18</f>
        <v>18152.905273558339</v>
      </c>
      <c r="V20" s="299">
        <f>'WH Users'!S18</f>
        <v>18268.047111712862</v>
      </c>
      <c r="W20" s="299">
        <f>'WH Users'!T18</f>
        <v>18383.188949867385</v>
      </c>
      <c r="X20" s="299">
        <f>'WH Users'!U18</f>
        <v>18498.330788021907</v>
      </c>
      <c r="Y20" s="299">
        <f>'WH Users'!V18</f>
        <v>18613.47262617643</v>
      </c>
      <c r="Z20" s="299">
        <f>'WH Users'!W18</f>
        <v>18728.614464330953</v>
      </c>
      <c r="AA20" s="299">
        <f>'WH Users'!X18</f>
        <v>18843.756302485475</v>
      </c>
      <c r="AB20" s="299">
        <f>'WH Users'!Y18</f>
        <v>18958.898140640005</v>
      </c>
      <c r="AC20" s="408">
        <f>'WH Users'!Z18</f>
        <v>19074.039978794528</v>
      </c>
      <c r="AD20" s="364">
        <f t="shared" si="0"/>
        <v>395571.06523119775</v>
      </c>
    </row>
    <row r="21" spans="1:33" s="53" customFormat="1" ht="12">
      <c r="A21" s="58"/>
      <c r="B21" s="70"/>
      <c r="C21" s="78" t="s">
        <v>506</v>
      </c>
      <c r="D21" s="228"/>
      <c r="E21" s="235"/>
      <c r="F21" s="299">
        <f>'WH Users'!C19</f>
        <v>0</v>
      </c>
      <c r="G21" s="299">
        <f>'WH Users'!D19</f>
        <v>-636.37359240644275</v>
      </c>
      <c r="H21" s="299">
        <f>'WH Users'!E19</f>
        <v>-2574.8767137889799</v>
      </c>
      <c r="I21" s="299">
        <f>'WH Users'!F19</f>
        <v>-2604.2590579521875</v>
      </c>
      <c r="J21" s="299">
        <f>'WH Users'!G19</f>
        <v>-2633.6414021153955</v>
      </c>
      <c r="K21" s="299">
        <f>'WH Users'!H19</f>
        <v>-2663.0237462786031</v>
      </c>
      <c r="L21" s="299">
        <f>'WH Users'!I19</f>
        <v>-2692.4060904418116</v>
      </c>
      <c r="M21" s="299">
        <f>'WH Users'!J19</f>
        <v>-2721.7884346050196</v>
      </c>
      <c r="N21" s="299">
        <f>'WH Users'!K19</f>
        <v>-2751.1707787682267</v>
      </c>
      <c r="O21" s="299">
        <f>'WH Users'!L19</f>
        <v>-2769.4319455465939</v>
      </c>
      <c r="P21" s="299">
        <f>'WH Users'!M19</f>
        <v>-2787.6931123249601</v>
      </c>
      <c r="Q21" s="299">
        <f>'WH Users'!N19</f>
        <v>-2805.9542791033264</v>
      </c>
      <c r="R21" s="299">
        <f>'WH Users'!O19</f>
        <v>-2824.2154458816935</v>
      </c>
      <c r="S21" s="299">
        <f>'WH Users'!P19</f>
        <v>-2842.4766126600589</v>
      </c>
      <c r="T21" s="299">
        <f>'WH Users'!Q19</f>
        <v>-2860.7377794384261</v>
      </c>
      <c r="U21" s="299">
        <f>'WH Users'!R19</f>
        <v>-2878.9989462167932</v>
      </c>
      <c r="V21" s="299">
        <f>'WH Users'!S19</f>
        <v>-2897.2601129951595</v>
      </c>
      <c r="W21" s="299">
        <f>'WH Users'!T19</f>
        <v>-2915.5212797735257</v>
      </c>
      <c r="X21" s="299">
        <f>'WH Users'!U19</f>
        <v>-2933.7824465518925</v>
      </c>
      <c r="Y21" s="299">
        <f>'WH Users'!V19</f>
        <v>-2952.0436133302587</v>
      </c>
      <c r="Z21" s="299">
        <f>'WH Users'!W19</f>
        <v>-2970.304780108625</v>
      </c>
      <c r="AA21" s="299">
        <f>'WH Users'!X19</f>
        <v>-2988.5659468869912</v>
      </c>
      <c r="AB21" s="299">
        <f>'WH Users'!Y19</f>
        <v>-3006.8271136653589</v>
      </c>
      <c r="AC21" s="408">
        <f>'WH Users'!Z19</f>
        <v>-3025.0882804437256</v>
      </c>
      <c r="AD21" s="364">
        <f t="shared" si="0"/>
        <v>-62736.441511284051</v>
      </c>
    </row>
    <row r="22" spans="1:33" s="53" customFormat="1" ht="12">
      <c r="A22" s="58"/>
      <c r="B22" s="70"/>
      <c r="C22" s="78" t="s">
        <v>507</v>
      </c>
      <c r="D22" s="228"/>
      <c r="E22" s="235"/>
      <c r="F22" s="299">
        <f>'WH Users'!C20</f>
        <v>0</v>
      </c>
      <c r="G22" s="299">
        <f>'WH Users'!D20</f>
        <v>-2675.0107143383666</v>
      </c>
      <c r="H22" s="299">
        <f>'WH Users'!E20</f>
        <v>-10823.552202157893</v>
      </c>
      <c r="I22" s="299">
        <f>'WH Users'!F20</f>
        <v>-10947.061546962319</v>
      </c>
      <c r="J22" s="299">
        <f>'WH Users'!G20</f>
        <v>-11070.570891766743</v>
      </c>
      <c r="K22" s="299">
        <f>'WH Users'!H20</f>
        <v>-11194.080236571168</v>
      </c>
      <c r="L22" s="299">
        <f>'WH Users'!I20</f>
        <v>-11317.589581375596</v>
      </c>
      <c r="M22" s="299">
        <f>'WH Users'!J20</f>
        <v>-11441.09892618002</v>
      </c>
      <c r="N22" s="299">
        <f>'WH Users'!K20</f>
        <v>-11564.608270984445</v>
      </c>
      <c r="O22" s="299">
        <f>'WH Users'!L20</f>
        <v>-11641.369496420795</v>
      </c>
      <c r="P22" s="299">
        <f>'WH Users'!M20</f>
        <v>-11718.130721857146</v>
      </c>
      <c r="Q22" s="299">
        <f>'WH Users'!N20</f>
        <v>-11794.891947293494</v>
      </c>
      <c r="R22" s="299">
        <f>'WH Users'!O20</f>
        <v>-11871.653172729846</v>
      </c>
      <c r="S22" s="299">
        <f>'WH Users'!P20</f>
        <v>-11948.414398166191</v>
      </c>
      <c r="T22" s="299">
        <f>'WH Users'!Q20</f>
        <v>-12025.175623602541</v>
      </c>
      <c r="U22" s="299">
        <f>'WH Users'!R20</f>
        <v>-12101.936849038892</v>
      </c>
      <c r="V22" s="299">
        <f>'WH Users'!S20</f>
        <v>-12178.69807447524</v>
      </c>
      <c r="W22" s="299">
        <f>'WH Users'!T20</f>
        <v>-12255.459299911588</v>
      </c>
      <c r="X22" s="299">
        <f>'WH Users'!U20</f>
        <v>-12332.220525347941</v>
      </c>
      <c r="Y22" s="299">
        <f>'WH Users'!V20</f>
        <v>-12408.981750784287</v>
      </c>
      <c r="Z22" s="299">
        <f>'WH Users'!W20</f>
        <v>-12485.742976220638</v>
      </c>
      <c r="AA22" s="299">
        <f>'WH Users'!X20</f>
        <v>-12562.504201656984</v>
      </c>
      <c r="AB22" s="299">
        <f>'WH Users'!Y20</f>
        <v>-12639.265427093334</v>
      </c>
      <c r="AC22" s="408">
        <f>'WH Users'!Z20</f>
        <v>-12716.026652529685</v>
      </c>
      <c r="AD22" s="364">
        <f t="shared" si="0"/>
        <v>-263714.04348746524</v>
      </c>
    </row>
    <row r="23" spans="1:33" s="53" customFormat="1" ht="12">
      <c r="A23" s="58"/>
      <c r="B23" s="70"/>
      <c r="C23" s="78" t="s">
        <v>508</v>
      </c>
      <c r="D23" s="228"/>
      <c r="E23" s="235"/>
      <c r="F23" s="299">
        <f>'WH Users'!C21</f>
        <v>0</v>
      </c>
      <c r="G23" s="299">
        <f>'WH Users'!D21</f>
        <v>-17387.569643199382</v>
      </c>
      <c r="H23" s="299">
        <f>'WH Users'!E21</f>
        <v>-70353.089314026307</v>
      </c>
      <c r="I23" s="299">
        <f>'WH Users'!F21</f>
        <v>-71155.900055255071</v>
      </c>
      <c r="J23" s="299">
        <f>'WH Users'!G21</f>
        <v>-71958.710796483836</v>
      </c>
      <c r="K23" s="299">
        <f>'WH Users'!H21</f>
        <v>-72761.521537712586</v>
      </c>
      <c r="L23" s="299">
        <f>'WH Users'!I21</f>
        <v>-73564.33227894138</v>
      </c>
      <c r="M23" s="299">
        <f>'WH Users'!J21</f>
        <v>-74367.14302017013</v>
      </c>
      <c r="N23" s="299">
        <f>'WH Users'!K21</f>
        <v>-75169.953761398894</v>
      </c>
      <c r="O23" s="299">
        <f>'WH Users'!L21</f>
        <v>-75668.901726735174</v>
      </c>
      <c r="P23" s="299">
        <f>'WH Users'!M21</f>
        <v>-76167.849692071439</v>
      </c>
      <c r="Q23" s="299">
        <f>'WH Users'!N21</f>
        <v>-76666.797657407704</v>
      </c>
      <c r="R23" s="299">
        <f>'WH Users'!O21</f>
        <v>-77165.745622743998</v>
      </c>
      <c r="S23" s="299">
        <f>'WH Users'!P21</f>
        <v>-77664.693588080234</v>
      </c>
      <c r="T23" s="299">
        <f>'WH Users'!Q21</f>
        <v>-78163.641553416513</v>
      </c>
      <c r="U23" s="299">
        <f>'WH Users'!R21</f>
        <v>-78662.589518752793</v>
      </c>
      <c r="V23" s="299">
        <f>'WH Users'!S21</f>
        <v>-79161.537484089058</v>
      </c>
      <c r="W23" s="299">
        <f>'WH Users'!T21</f>
        <v>-79660.485449425323</v>
      </c>
      <c r="X23" s="299">
        <f>'WH Users'!U21</f>
        <v>-80159.433414761617</v>
      </c>
      <c r="Y23" s="299">
        <f>'WH Users'!V21</f>
        <v>-80658.381380097868</v>
      </c>
      <c r="Z23" s="299">
        <f>'WH Users'!W21</f>
        <v>-81157.329345434147</v>
      </c>
      <c r="AA23" s="299">
        <f>'WH Users'!X21</f>
        <v>-81656.277310770398</v>
      </c>
      <c r="AB23" s="299">
        <f>'WH Users'!Y21</f>
        <v>-82155.225276106677</v>
      </c>
      <c r="AC23" s="408">
        <f>'WH Users'!Z21</f>
        <v>-82654.173241442957</v>
      </c>
      <c r="AD23" s="364">
        <f t="shared" si="0"/>
        <v>-1714141.2826685242</v>
      </c>
    </row>
    <row r="24" spans="1:33" s="53" customFormat="1" ht="12">
      <c r="A24" s="58"/>
      <c r="B24" s="70"/>
      <c r="C24" s="54" t="s">
        <v>509</v>
      </c>
      <c r="D24" s="228"/>
      <c r="E24" s="235"/>
      <c r="F24" s="459">
        <f>'WH Users'!C22</f>
        <v>0</v>
      </c>
      <c r="G24" s="459">
        <f>'WH Users'!D22</f>
        <v>3064.0878721314166</v>
      </c>
      <c r="H24" s="459">
        <f>'WH Users'!E22</f>
        <v>12118.41507564978</v>
      </c>
      <c r="I24" s="459">
        <f>'WH Users'!F22</f>
        <v>11986.558982182913</v>
      </c>
      <c r="J24" s="459">
        <f>'WH Users'!G22</f>
        <v>11860.389841871658</v>
      </c>
      <c r="K24" s="459">
        <f>'WH Users'!H22</f>
        <v>11739.547503942889</v>
      </c>
      <c r="L24" s="459">
        <f>'WH Users'!I22</f>
        <v>11623.701599726281</v>
      </c>
      <c r="M24" s="459">
        <f>'WH Users'!J22</f>
        <v>11512.548526527422</v>
      </c>
      <c r="N24" s="459">
        <f>'WH Users'!K22</f>
        <v>11405.808790767398</v>
      </c>
      <c r="O24" s="459">
        <f>'WH Users'!L22</f>
        <v>11475.43596750482</v>
      </c>
      <c r="P24" s="459">
        <f>'WH Users'!M22</f>
        <v>11544.989441556034</v>
      </c>
      <c r="Q24" s="459">
        <f>'WH Users'!N22</f>
        <v>11614.469329884259</v>
      </c>
      <c r="R24" s="459">
        <f>'WH Users'!O22</f>
        <v>11683.875749205366</v>
      </c>
      <c r="S24" s="459">
        <f>'WH Users'!P22</f>
        <v>11753.208815988497</v>
      </c>
      <c r="T24" s="459">
        <f>'WH Users'!Q22</f>
        <v>11822.468646456769</v>
      </c>
      <c r="U24" s="459">
        <f>'WH Users'!R22</f>
        <v>11891.655356587882</v>
      </c>
      <c r="V24" s="459">
        <f>'WH Users'!S22</f>
        <v>11960.769062114781</v>
      </c>
      <c r="W24" s="459">
        <f>'WH Users'!T22</f>
        <v>12029.80987852631</v>
      </c>
      <c r="X24" s="459">
        <f>'WH Users'!U22</f>
        <v>12098.777921067836</v>
      </c>
      <c r="Y24" s="459">
        <f>'WH Users'!V22</f>
        <v>12167.6733047419</v>
      </c>
      <c r="Z24" s="459">
        <f>'WH Users'!W22</f>
        <v>12236.496144308872</v>
      </c>
      <c r="AA24" s="459">
        <f>'WH Users'!X22</f>
        <v>12305.246554287551</v>
      </c>
      <c r="AB24" s="459">
        <f>'WH Users'!Y22</f>
        <v>12373.924648955843</v>
      </c>
      <c r="AC24" s="460">
        <f>'WH Users'!Z22</f>
        <v>12442.530542351364</v>
      </c>
      <c r="AD24" s="365">
        <f t="shared" si="0"/>
        <v>264712.38955633785</v>
      </c>
    </row>
    <row r="25" spans="1:33" s="53" customFormat="1" ht="12">
      <c r="A25" s="58"/>
      <c r="B25" s="70"/>
      <c r="C25" s="66"/>
      <c r="D25" s="228"/>
      <c r="E25" s="235"/>
      <c r="H25" s="59"/>
      <c r="I25" s="59"/>
      <c r="J25" s="59"/>
      <c r="K25" s="59"/>
      <c r="L25" s="59"/>
      <c r="M25" s="59"/>
      <c r="N25" s="59"/>
      <c r="O25" s="59"/>
      <c r="P25" s="59"/>
      <c r="Q25" s="59"/>
      <c r="R25" s="59"/>
      <c r="S25" s="59"/>
      <c r="T25" s="59"/>
      <c r="U25" s="59"/>
      <c r="V25" s="59"/>
      <c r="W25" s="59"/>
      <c r="X25" s="59"/>
      <c r="Y25" s="59"/>
      <c r="AC25" s="283"/>
      <c r="AD25" s="361">
        <f t="shared" si="0"/>
        <v>0</v>
      </c>
    </row>
    <row r="26" spans="1:33" s="53" customFormat="1" ht="12">
      <c r="A26" s="58"/>
      <c r="B26" s="58"/>
      <c r="D26" s="228"/>
      <c r="E26" s="235"/>
      <c r="AC26" s="283"/>
      <c r="AD26" s="361">
        <f t="shared" si="0"/>
        <v>0</v>
      </c>
    </row>
    <row r="27" spans="1:33" s="53" customFormat="1" ht="12">
      <c r="A27" s="58" t="s">
        <v>364</v>
      </c>
      <c r="B27" s="58"/>
      <c r="D27" s="228"/>
      <c r="E27" s="235"/>
      <c r="H27" s="59"/>
      <c r="I27" s="59"/>
      <c r="J27" s="59"/>
      <c r="K27" s="59"/>
      <c r="L27" s="59"/>
      <c r="M27" s="59"/>
      <c r="N27" s="59"/>
      <c r="O27" s="59"/>
      <c r="P27" s="59"/>
      <c r="Q27" s="59"/>
      <c r="R27" s="59"/>
      <c r="S27" s="59"/>
      <c r="T27" s="59"/>
      <c r="U27" s="59"/>
      <c r="V27" s="59"/>
      <c r="W27" s="59"/>
      <c r="X27" s="59"/>
      <c r="Y27" s="59"/>
      <c r="AC27" s="283"/>
      <c r="AD27" s="361">
        <f t="shared" si="0"/>
        <v>0</v>
      </c>
    </row>
    <row r="28" spans="1:33" s="53" customFormat="1" ht="12">
      <c r="A28" s="58"/>
      <c r="B28" s="58"/>
      <c r="C28" s="216" t="s">
        <v>365</v>
      </c>
      <c r="D28" s="228"/>
      <c r="E28" s="235"/>
      <c r="H28" s="59"/>
      <c r="I28" s="59"/>
      <c r="J28" s="59"/>
      <c r="K28" s="59"/>
      <c r="L28" s="59"/>
      <c r="M28" s="59"/>
      <c r="N28" s="59"/>
      <c r="O28" s="59"/>
      <c r="P28" s="59"/>
      <c r="Q28" s="59"/>
      <c r="R28" s="59"/>
      <c r="S28" s="59"/>
      <c r="T28" s="59"/>
      <c r="U28" s="59"/>
      <c r="V28" s="59"/>
      <c r="W28" s="59"/>
      <c r="X28" s="59"/>
      <c r="Y28" s="59"/>
      <c r="AC28" s="283"/>
      <c r="AD28" s="361">
        <f t="shared" si="0"/>
        <v>0</v>
      </c>
    </row>
    <row r="29" spans="1:33" s="53" customFormat="1" ht="12">
      <c r="A29" s="58"/>
      <c r="B29" s="58"/>
      <c r="D29" s="228"/>
      <c r="E29" s="235"/>
      <c r="H29" s="59"/>
      <c r="I29" s="59"/>
      <c r="J29" s="59"/>
      <c r="K29" s="59"/>
      <c r="L29" s="59"/>
      <c r="M29" s="59"/>
      <c r="N29" s="59"/>
      <c r="O29" s="59"/>
      <c r="P29" s="59"/>
      <c r="Q29" s="59"/>
      <c r="R29" s="59"/>
      <c r="S29" s="59"/>
      <c r="T29" s="59"/>
      <c r="U29" s="59"/>
      <c r="V29" s="59"/>
      <c r="W29" s="59"/>
      <c r="X29" s="59"/>
      <c r="Y29" s="59"/>
      <c r="AC29" s="283"/>
      <c r="AD29" s="361">
        <f t="shared" si="0"/>
        <v>0</v>
      </c>
    </row>
    <row r="30" spans="1:33" s="53" customFormat="1" ht="12">
      <c r="A30" s="58"/>
      <c r="B30" s="58"/>
      <c r="D30" s="228"/>
      <c r="E30" s="235"/>
      <c r="H30" s="59"/>
      <c r="I30" s="59"/>
      <c r="J30" s="59"/>
      <c r="K30" s="59"/>
      <c r="L30" s="59"/>
      <c r="M30" s="59"/>
      <c r="N30" s="59"/>
      <c r="O30" s="59"/>
      <c r="P30" s="59"/>
      <c r="Q30" s="59"/>
      <c r="R30" s="59"/>
      <c r="S30" s="59"/>
      <c r="T30" s="59"/>
      <c r="U30" s="59"/>
      <c r="V30" s="59"/>
      <c r="W30" s="59"/>
      <c r="X30" s="59"/>
      <c r="Y30" s="59"/>
      <c r="AC30" s="283"/>
      <c r="AD30" s="361">
        <f t="shared" si="0"/>
        <v>0</v>
      </c>
    </row>
    <row r="31" spans="1:33" s="53" customFormat="1" ht="12">
      <c r="A31" s="58"/>
      <c r="B31" s="58"/>
      <c r="C31" s="45"/>
      <c r="D31" s="229"/>
      <c r="E31" s="235"/>
      <c r="F31" s="59"/>
      <c r="G31" s="59"/>
      <c r="H31" s="59"/>
      <c r="I31" s="59"/>
      <c r="J31" s="59"/>
      <c r="K31" s="59"/>
      <c r="L31" s="59"/>
      <c r="M31" s="59"/>
      <c r="N31" s="59"/>
      <c r="O31" s="59"/>
      <c r="P31" s="59"/>
      <c r="Q31" s="59"/>
      <c r="R31" s="59"/>
      <c r="S31" s="59"/>
      <c r="T31" s="59"/>
      <c r="U31" s="59"/>
      <c r="V31" s="59"/>
      <c r="W31" s="59"/>
      <c r="X31" s="59"/>
      <c r="Y31" s="59"/>
      <c r="AC31" s="283"/>
      <c r="AD31" s="361">
        <f t="shared" si="0"/>
        <v>0</v>
      </c>
    </row>
    <row r="32" spans="1:33" s="53" customFormat="1" ht="12">
      <c r="A32" s="44" t="s">
        <v>362</v>
      </c>
      <c r="B32" s="44"/>
      <c r="C32" s="45"/>
      <c r="D32" s="229"/>
      <c r="E32" s="236"/>
      <c r="F32" s="45"/>
      <c r="G32" s="59"/>
      <c r="H32" s="59"/>
      <c r="I32" s="59"/>
      <c r="J32" s="59"/>
      <c r="K32" s="59"/>
      <c r="L32" s="59"/>
      <c r="M32" s="59"/>
      <c r="N32" s="59"/>
      <c r="O32" s="59"/>
      <c r="P32" s="59"/>
      <c r="Q32" s="59"/>
      <c r="R32" s="59"/>
      <c r="S32" s="59"/>
      <c r="T32" s="59"/>
      <c r="U32" s="59"/>
      <c r="V32" s="59"/>
      <c r="W32" s="59"/>
      <c r="X32" s="59"/>
      <c r="Y32" s="59"/>
      <c r="AC32" s="283"/>
      <c r="AD32" s="361">
        <f t="shared" si="0"/>
        <v>0</v>
      </c>
    </row>
    <row r="33" spans="1:30" s="53" customFormat="1" ht="12">
      <c r="A33" s="44"/>
      <c r="B33" s="44"/>
      <c r="C33" s="45"/>
      <c r="D33" s="229"/>
      <c r="E33" s="236"/>
      <c r="F33" s="45"/>
      <c r="G33" s="59"/>
      <c r="H33" s="59"/>
      <c r="I33" s="59"/>
      <c r="J33" s="59"/>
      <c r="K33" s="59"/>
      <c r="L33" s="59"/>
      <c r="M33" s="59"/>
      <c r="N33" s="59"/>
      <c r="O33" s="59"/>
      <c r="P33" s="59"/>
      <c r="Q33" s="59"/>
      <c r="R33" s="59"/>
      <c r="S33" s="59"/>
      <c r="T33" s="59"/>
      <c r="U33" s="59"/>
      <c r="V33" s="59"/>
      <c r="W33" s="59"/>
      <c r="X33" s="59"/>
      <c r="Y33" s="59"/>
      <c r="AC33" s="283"/>
      <c r="AD33" s="361">
        <f t="shared" si="0"/>
        <v>0</v>
      </c>
    </row>
    <row r="34" spans="1:30" s="53" customFormat="1" ht="12">
      <c r="A34" s="44"/>
      <c r="B34" s="5" t="s">
        <v>367</v>
      </c>
      <c r="C34" s="45"/>
      <c r="D34" s="229"/>
      <c r="E34" s="236"/>
      <c r="F34" s="45"/>
      <c r="G34" s="59"/>
      <c r="H34" s="59"/>
      <c r="I34" s="59"/>
      <c r="J34" s="59"/>
      <c r="K34" s="59"/>
      <c r="L34" s="59"/>
      <c r="M34" s="59"/>
      <c r="N34" s="59"/>
      <c r="O34" s="59"/>
      <c r="P34" s="59"/>
      <c r="Q34" s="59"/>
      <c r="R34" s="59"/>
      <c r="S34" s="59"/>
      <c r="T34" s="59"/>
      <c r="U34" s="59"/>
      <c r="V34" s="59"/>
      <c r="W34" s="59"/>
      <c r="X34" s="59"/>
      <c r="Y34" s="59"/>
      <c r="AC34" s="283"/>
      <c r="AD34" s="361">
        <f t="shared" si="0"/>
        <v>0</v>
      </c>
    </row>
    <row r="35" spans="1:30" s="53" customFormat="1" ht="12">
      <c r="A35" s="44"/>
      <c r="B35" s="270" t="s">
        <v>463</v>
      </c>
      <c r="C35" s="70" t="s">
        <v>366</v>
      </c>
      <c r="D35" s="229"/>
      <c r="E35" s="236"/>
      <c r="F35" s="45"/>
      <c r="G35" s="59"/>
      <c r="H35" s="59"/>
      <c r="I35" s="59"/>
      <c r="J35" s="59"/>
      <c r="K35" s="59"/>
      <c r="L35" s="59"/>
      <c r="M35" s="59"/>
      <c r="N35" s="59"/>
      <c r="O35" s="59"/>
      <c r="P35" s="59"/>
      <c r="Q35" s="59"/>
      <c r="R35" s="59"/>
      <c r="S35" s="59"/>
      <c r="T35" s="59"/>
      <c r="U35" s="59"/>
      <c r="V35" s="59"/>
      <c r="W35" s="59"/>
      <c r="X35" s="59"/>
      <c r="Y35" s="59"/>
      <c r="AC35" s="283"/>
      <c r="AD35" s="361">
        <f t="shared" si="0"/>
        <v>0</v>
      </c>
    </row>
    <row r="36" spans="1:30" s="53" customFormat="1" ht="12">
      <c r="A36" s="44"/>
      <c r="C36" s="63" t="s">
        <v>131</v>
      </c>
      <c r="D36" s="229"/>
      <c r="E36" s="236"/>
      <c r="F36" s="45"/>
      <c r="G36" s="59"/>
      <c r="H36" s="59"/>
      <c r="I36" s="59"/>
      <c r="J36" s="59"/>
      <c r="K36" s="59"/>
      <c r="L36" s="59"/>
      <c r="M36" s="59"/>
      <c r="N36" s="59"/>
      <c r="O36" s="59"/>
      <c r="P36" s="59"/>
      <c r="Q36" s="59"/>
      <c r="R36" s="59"/>
      <c r="S36" s="59"/>
      <c r="T36" s="59"/>
      <c r="U36" s="59"/>
      <c r="V36" s="59"/>
      <c r="W36" s="59"/>
      <c r="X36" s="59"/>
      <c r="Y36" s="59"/>
      <c r="AC36" s="283"/>
      <c r="AD36" s="361">
        <f t="shared" si="0"/>
        <v>0</v>
      </c>
    </row>
    <row r="37" spans="1:30" s="53" customFormat="1" ht="12">
      <c r="A37" s="44"/>
      <c r="C37" s="245" t="s">
        <v>428</v>
      </c>
      <c r="D37" s="267">
        <f>50/3600</f>
        <v>1.3888888888888888E-2</v>
      </c>
      <c r="E37" s="236"/>
      <c r="F37" s="45"/>
      <c r="G37" s="59"/>
      <c r="H37" s="59"/>
      <c r="I37" s="59"/>
      <c r="J37" s="59"/>
      <c r="K37" s="59"/>
      <c r="L37" s="59"/>
      <c r="M37" s="59"/>
      <c r="N37" s="59"/>
      <c r="O37" s="59"/>
      <c r="P37" s="59"/>
      <c r="Q37" s="59"/>
      <c r="R37" s="59"/>
      <c r="S37" s="59"/>
      <c r="T37" s="59"/>
      <c r="U37" s="59"/>
      <c r="V37" s="59"/>
      <c r="W37" s="59"/>
      <c r="X37" s="59"/>
      <c r="Y37" s="59"/>
      <c r="AC37" s="283"/>
      <c r="AD37" s="361">
        <f t="shared" si="0"/>
        <v>0</v>
      </c>
    </row>
    <row r="38" spans="1:30" s="53" customFormat="1" ht="12">
      <c r="A38" s="44"/>
      <c r="C38" s="243" t="s">
        <v>419</v>
      </c>
      <c r="D38" s="273">
        <v>26.21</v>
      </c>
      <c r="E38" s="236"/>
      <c r="F38" s="45"/>
      <c r="G38" s="59"/>
      <c r="H38" s="59"/>
      <c r="I38" s="59"/>
      <c r="J38" s="59"/>
      <c r="K38" s="59"/>
      <c r="L38" s="59"/>
      <c r="M38" s="59"/>
      <c r="N38" s="59"/>
      <c r="O38" s="59"/>
      <c r="P38" s="59"/>
      <c r="Q38" s="59"/>
      <c r="R38" s="59"/>
      <c r="S38" s="59"/>
      <c r="T38" s="59"/>
      <c r="U38" s="59"/>
      <c r="V38" s="59"/>
      <c r="W38" s="59"/>
      <c r="X38" s="59"/>
      <c r="Y38" s="59"/>
      <c r="AC38" s="283"/>
      <c r="AD38" s="361">
        <f t="shared" si="0"/>
        <v>0</v>
      </c>
    </row>
    <row r="39" spans="1:30" s="53" customFormat="1" ht="12">
      <c r="A39" s="44"/>
      <c r="C39" s="62" t="s">
        <v>429</v>
      </c>
      <c r="D39" s="273"/>
      <c r="E39" s="236"/>
      <c r="F39" s="305">
        <v>0</v>
      </c>
      <c r="G39" s="338">
        <f t="shared" ref="G39:I39" si="1">$D$38*$D$37*G10</f>
        <v>30334.791979766749</v>
      </c>
      <c r="H39" s="338">
        <f t="shared" si="1"/>
        <v>122739.77176043377</v>
      </c>
      <c r="I39" s="338">
        <f t="shared" si="1"/>
        <v>124140.37560180052</v>
      </c>
      <c r="J39" s="338">
        <f t="shared" ref="J39:AC39" si="2">$D$38*$D$37*J10</f>
        <v>125540.97944316728</v>
      </c>
      <c r="K39" s="338">
        <f t="shared" si="2"/>
        <v>126941.58328453402</v>
      </c>
      <c r="L39" s="338">
        <f t="shared" si="2"/>
        <v>128342.18712590079</v>
      </c>
      <c r="M39" s="338">
        <f t="shared" si="2"/>
        <v>129742.79096726755</v>
      </c>
      <c r="N39" s="338">
        <f t="shared" si="2"/>
        <v>131143.39480863427</v>
      </c>
      <c r="O39" s="338">
        <f t="shared" si="2"/>
        <v>132013.87199709652</v>
      </c>
      <c r="P39" s="338">
        <f t="shared" si="2"/>
        <v>132884.34918555879</v>
      </c>
      <c r="Q39" s="338">
        <f t="shared" si="2"/>
        <v>133754.82637402101</v>
      </c>
      <c r="R39" s="338">
        <f t="shared" si="2"/>
        <v>134625.30356248328</v>
      </c>
      <c r="S39" s="338">
        <f t="shared" si="2"/>
        <v>135495.78075094547</v>
      </c>
      <c r="T39" s="338">
        <f t="shared" si="2"/>
        <v>136366.25793940772</v>
      </c>
      <c r="U39" s="338">
        <f t="shared" si="2"/>
        <v>137236.73512786999</v>
      </c>
      <c r="V39" s="338">
        <f t="shared" si="2"/>
        <v>138107.21231633221</v>
      </c>
      <c r="W39" s="338">
        <f t="shared" si="2"/>
        <v>138977.68950479446</v>
      </c>
      <c r="X39" s="338">
        <f t="shared" si="2"/>
        <v>139848.16669325673</v>
      </c>
      <c r="Y39" s="338">
        <f t="shared" si="2"/>
        <v>140718.64388171892</v>
      </c>
      <c r="Z39" s="338">
        <f t="shared" si="2"/>
        <v>141589.12107018117</v>
      </c>
      <c r="AA39" s="338">
        <f t="shared" si="2"/>
        <v>142459.59825864341</v>
      </c>
      <c r="AB39" s="338">
        <f t="shared" si="2"/>
        <v>143330.07544710566</v>
      </c>
      <c r="AC39" s="339">
        <f t="shared" si="2"/>
        <v>144200.55263556793</v>
      </c>
      <c r="AD39" s="367">
        <f t="shared" si="0"/>
        <v>2990534.0597164882</v>
      </c>
    </row>
    <row r="40" spans="1:30" s="53" customFormat="1" ht="12">
      <c r="A40" s="44"/>
      <c r="B40" s="44"/>
      <c r="D40" s="273"/>
      <c r="E40" s="236"/>
      <c r="G40" s="59"/>
      <c r="H40" s="59"/>
      <c r="I40" s="59"/>
      <c r="J40" s="59"/>
      <c r="K40" s="59"/>
      <c r="L40" s="59"/>
      <c r="M40" s="59"/>
      <c r="N40" s="59"/>
      <c r="O40" s="59"/>
      <c r="P40" s="59"/>
      <c r="Q40" s="59"/>
      <c r="R40" s="59"/>
      <c r="S40" s="59"/>
      <c r="T40" s="59"/>
      <c r="U40" s="59"/>
      <c r="V40" s="59"/>
      <c r="W40" s="59"/>
      <c r="X40" s="59"/>
      <c r="Y40" s="59"/>
      <c r="AC40" s="283"/>
      <c r="AD40" s="361">
        <f t="shared" si="0"/>
        <v>0</v>
      </c>
    </row>
    <row r="41" spans="1:30" s="53" customFormat="1" ht="12">
      <c r="A41" s="44"/>
      <c r="B41" s="270" t="s">
        <v>462</v>
      </c>
      <c r="C41" s="54" t="s">
        <v>425</v>
      </c>
      <c r="D41" s="273"/>
      <c r="E41" s="236"/>
      <c r="F41" s="45">
        <f>F11</f>
        <v>0</v>
      </c>
      <c r="G41" s="104">
        <f t="shared" ref="G41:AC41" si="3">G11</f>
        <v>1666.6196280375475</v>
      </c>
      <c r="H41" s="104">
        <f t="shared" si="3"/>
        <v>6743.4288948883877</v>
      </c>
      <c r="I41" s="104">
        <f t="shared" si="3"/>
        <v>6820.3792776265836</v>
      </c>
      <c r="J41" s="104">
        <f t="shared" si="3"/>
        <v>6897.3296603647796</v>
      </c>
      <c r="K41" s="104">
        <f t="shared" si="3"/>
        <v>6974.2800431029755</v>
      </c>
      <c r="L41" s="104">
        <f t="shared" si="3"/>
        <v>7051.2304258411732</v>
      </c>
      <c r="M41" s="104">
        <f t="shared" si="3"/>
        <v>7128.1808085793691</v>
      </c>
      <c r="N41" s="104">
        <f t="shared" si="3"/>
        <v>7205.1311913175641</v>
      </c>
      <c r="O41" s="104">
        <f t="shared" si="3"/>
        <v>7252.9559586348341</v>
      </c>
      <c r="P41" s="104">
        <f t="shared" si="3"/>
        <v>7300.7807259521041</v>
      </c>
      <c r="Q41" s="104">
        <f t="shared" si="3"/>
        <v>7348.6054932693723</v>
      </c>
      <c r="R41" s="104">
        <f t="shared" si="3"/>
        <v>7396.4302605866433</v>
      </c>
      <c r="S41" s="104">
        <f t="shared" si="3"/>
        <v>7444.2550279039096</v>
      </c>
      <c r="T41" s="104">
        <f t="shared" si="3"/>
        <v>7492.0797952211797</v>
      </c>
      <c r="U41" s="104">
        <f t="shared" si="3"/>
        <v>7539.9045625384506</v>
      </c>
      <c r="V41" s="104">
        <f t="shared" si="3"/>
        <v>7587.7293298557197</v>
      </c>
      <c r="W41" s="104">
        <f t="shared" si="3"/>
        <v>7635.5540971729879</v>
      </c>
      <c r="X41" s="104">
        <f t="shared" si="3"/>
        <v>7683.3788644902588</v>
      </c>
      <c r="Y41" s="104">
        <f t="shared" si="3"/>
        <v>7731.2036318075261</v>
      </c>
      <c r="Z41" s="104">
        <f t="shared" si="3"/>
        <v>7779.0283991247952</v>
      </c>
      <c r="AA41" s="104">
        <f t="shared" si="3"/>
        <v>7826.8531664420643</v>
      </c>
      <c r="AB41" s="104">
        <f t="shared" si="3"/>
        <v>7874.6779337593343</v>
      </c>
      <c r="AC41" s="287">
        <f t="shared" si="3"/>
        <v>7922.5027010766044</v>
      </c>
      <c r="AD41" s="366">
        <f t="shared" si="0"/>
        <v>164302.51987759417</v>
      </c>
    </row>
    <row r="42" spans="1:30" s="53" customFormat="1" ht="12">
      <c r="A42" s="44"/>
      <c r="B42" s="70"/>
      <c r="C42" s="63" t="s">
        <v>131</v>
      </c>
      <c r="D42" s="273"/>
      <c r="E42" s="236"/>
      <c r="F42" s="45"/>
      <c r="G42" s="45"/>
      <c r="H42" s="45"/>
      <c r="I42" s="45"/>
      <c r="J42" s="45"/>
      <c r="K42" s="45"/>
      <c r="L42" s="45"/>
      <c r="M42" s="45"/>
      <c r="N42" s="45"/>
      <c r="O42" s="45"/>
      <c r="P42" s="45"/>
      <c r="Q42" s="45"/>
      <c r="R42" s="45"/>
      <c r="S42" s="45"/>
      <c r="T42" s="45"/>
      <c r="U42" s="45"/>
      <c r="V42" s="45"/>
      <c r="W42" s="45"/>
      <c r="X42" s="45"/>
      <c r="Y42" s="45"/>
      <c r="Z42" s="45"/>
      <c r="AA42" s="45"/>
      <c r="AB42" s="45"/>
      <c r="AC42" s="283"/>
      <c r="AD42" s="361">
        <f t="shared" si="0"/>
        <v>0</v>
      </c>
    </row>
    <row r="43" spans="1:30" s="53" customFormat="1" ht="12">
      <c r="A43" s="44"/>
      <c r="B43" s="70"/>
      <c r="C43" s="243" t="s">
        <v>403</v>
      </c>
      <c r="D43" s="273"/>
      <c r="E43" s="236"/>
      <c r="F43" s="318">
        <f>'Mode Operating Assumptions'!D29</f>
        <v>0.39100279786137265</v>
      </c>
      <c r="G43" s="318">
        <f>'Mode Operating Assumptions'!E29</f>
        <v>0.39205714599476826</v>
      </c>
      <c r="H43" s="318">
        <f>'Mode Operating Assumptions'!F29</f>
        <v>0.39311874523828177</v>
      </c>
      <c r="I43" s="318">
        <f>'Mode Operating Assumptions'!G29</f>
        <v>0.39418767065254157</v>
      </c>
      <c r="J43" s="318">
        <f>'Mode Operating Assumptions'!H29</f>
        <v>0.39526399833776032</v>
      </c>
      <c r="K43" s="318">
        <f>'Mode Operating Assumptions'!I29</f>
        <v>0.39634780545179538</v>
      </c>
      <c r="L43" s="318">
        <f>'Mode Operating Assumptions'!J29</f>
        <v>0.39743917022858699</v>
      </c>
      <c r="M43" s="318">
        <f>'Mode Operating Assumptions'!K29</f>
        <v>0.39853817199698321</v>
      </c>
      <c r="N43" s="318">
        <f>'Mode Operating Assumptions'!L29</f>
        <v>0.39964489119996166</v>
      </c>
      <c r="O43" s="318">
        <f>'Mode Operating Assumptions'!M29</f>
        <v>0.40075940941425758</v>
      </c>
      <c r="P43" s="318">
        <f>'Mode Operating Assumptions'!N29</f>
        <v>0.40188180937040846</v>
      </c>
      <c r="Q43" s="318">
        <f>'Mode Operating Assumptions'!O29</f>
        <v>0.40301217497322528</v>
      </c>
      <c r="R43" s="318">
        <f>'Mode Operating Assumptions'!P29</f>
        <v>0.40415059132270104</v>
      </c>
      <c r="S43" s="318">
        <f>'Mode Operating Assumptions'!Q29</f>
        <v>0.40529714473536788</v>
      </c>
      <c r="T43" s="318">
        <f>'Mode Operating Assumptions'!R29</f>
        <v>0.40645192276611369</v>
      </c>
      <c r="U43" s="318">
        <f>'Mode Operating Assumptions'!S29</f>
        <v>0.40761501423047014</v>
      </c>
      <c r="V43" s="318">
        <f>'Mode Operating Assumptions'!T29</f>
        <v>0.40878650922738302</v>
      </c>
      <c r="W43" s="318">
        <f>'Mode Operating Assumptions'!U29</f>
        <v>0.40996649916247907</v>
      </c>
      <c r="X43" s="318">
        <f>'Mode Operating Assumptions'!V29</f>
        <v>0.41115507677183999</v>
      </c>
      <c r="Y43" s="318">
        <f>'Mode Operating Assumptions'!W29</f>
        <v>0.41235233614629774</v>
      </c>
      <c r="Z43" s="318">
        <f>'Mode Operating Assumptions'!X29</f>
        <v>0.41355837275626389</v>
      </c>
      <c r="AA43" s="318">
        <f>'Mode Operating Assumptions'!Y29</f>
        <v>0.41477328347710757</v>
      </c>
      <c r="AB43" s="318">
        <f>'Mode Operating Assumptions'!Z29</f>
        <v>0.415997166615095</v>
      </c>
      <c r="AC43" s="321">
        <f>'Mode Operating Assumptions'!AA29</f>
        <v>0.41723012193390652</v>
      </c>
      <c r="AD43" s="368">
        <f t="shared" si="0"/>
        <v>9.6905878298649686</v>
      </c>
    </row>
    <row r="44" spans="1:30" s="53" customFormat="1" ht="12">
      <c r="A44" s="44"/>
      <c r="B44" s="70"/>
      <c r="C44" s="243" t="s">
        <v>420</v>
      </c>
      <c r="D44" s="266">
        <f>'Mode Operating Assumptions'!C152</f>
        <v>0.38127571701364549</v>
      </c>
      <c r="E44" s="236"/>
      <c r="F44" s="45"/>
      <c r="G44" s="45"/>
      <c r="H44" s="45"/>
      <c r="I44" s="45"/>
      <c r="J44" s="45"/>
      <c r="K44" s="45"/>
      <c r="L44" s="45"/>
      <c r="M44" s="45"/>
      <c r="N44" s="45"/>
      <c r="O44" s="45"/>
      <c r="P44" s="45"/>
      <c r="Q44" s="45"/>
      <c r="R44" s="45"/>
      <c r="S44" s="45"/>
      <c r="T44" s="45"/>
      <c r="U44" s="45"/>
      <c r="V44" s="45"/>
      <c r="W44" s="45"/>
      <c r="X44" s="45"/>
      <c r="Y44" s="45"/>
      <c r="Z44" s="45"/>
      <c r="AA44" s="45"/>
      <c r="AB44" s="45"/>
      <c r="AC44" s="283"/>
      <c r="AD44" s="361">
        <f t="shared" si="0"/>
        <v>0</v>
      </c>
    </row>
    <row r="45" spans="1:30" s="53" customFormat="1" ht="12">
      <c r="A45" s="44"/>
      <c r="B45" s="70"/>
      <c r="C45" s="243" t="s">
        <v>421</v>
      </c>
      <c r="D45" s="266">
        <f>'Mode Operating Assumptions'!C52</f>
        <v>0.234375</v>
      </c>
      <c r="E45" s="236"/>
      <c r="F45" s="45"/>
      <c r="G45" s="45"/>
      <c r="H45" s="45"/>
      <c r="I45" s="45"/>
      <c r="J45" s="45"/>
      <c r="K45" s="45"/>
      <c r="L45" s="45"/>
      <c r="M45" s="45"/>
      <c r="N45" s="45"/>
      <c r="O45" s="45"/>
      <c r="P45" s="45"/>
      <c r="Q45" s="45"/>
      <c r="R45" s="45"/>
      <c r="S45" s="45"/>
      <c r="T45" s="45"/>
      <c r="U45" s="45"/>
      <c r="V45" s="45"/>
      <c r="W45" s="45"/>
      <c r="X45" s="45"/>
      <c r="Y45" s="45"/>
      <c r="Z45" s="45"/>
      <c r="AA45" s="45"/>
      <c r="AB45" s="45"/>
      <c r="AC45" s="283"/>
      <c r="AD45" s="361">
        <f t="shared" si="0"/>
        <v>0</v>
      </c>
    </row>
    <row r="46" spans="1:30" s="53" customFormat="1" ht="12">
      <c r="A46" s="44"/>
      <c r="C46" s="243" t="s">
        <v>400</v>
      </c>
      <c r="D46" s="273">
        <v>13.91</v>
      </c>
      <c r="E46" s="236"/>
      <c r="F46" s="45"/>
      <c r="G46" s="45"/>
      <c r="H46" s="45"/>
      <c r="I46" s="45"/>
      <c r="J46" s="45"/>
      <c r="K46" s="45"/>
      <c r="L46" s="45"/>
      <c r="M46" s="45"/>
      <c r="N46" s="45"/>
      <c r="O46" s="45"/>
      <c r="P46" s="45"/>
      <c r="Q46" s="45"/>
      <c r="R46" s="45"/>
      <c r="S46" s="45"/>
      <c r="T46" s="45"/>
      <c r="U46" s="45"/>
      <c r="V46" s="45"/>
      <c r="W46" s="45"/>
      <c r="X46" s="45"/>
      <c r="Y46" s="45"/>
      <c r="Z46" s="45"/>
      <c r="AA46" s="45"/>
      <c r="AB46" s="45"/>
      <c r="AC46" s="283"/>
      <c r="AD46" s="361">
        <f t="shared" si="0"/>
        <v>0</v>
      </c>
    </row>
    <row r="47" spans="1:30" s="53" customFormat="1" ht="12">
      <c r="A47" s="44"/>
      <c r="B47" s="70"/>
      <c r="C47" s="243" t="s">
        <v>401</v>
      </c>
      <c r="D47" s="273">
        <v>13.91</v>
      </c>
      <c r="E47" s="236"/>
      <c r="F47" s="45"/>
      <c r="G47" s="45"/>
      <c r="H47" s="45"/>
      <c r="I47" s="45"/>
      <c r="J47" s="45"/>
      <c r="K47" s="45"/>
      <c r="L47" s="45"/>
      <c r="M47" s="45"/>
      <c r="N47" s="45"/>
      <c r="O47" s="45"/>
      <c r="P47" s="45"/>
      <c r="Q47" s="45"/>
      <c r="R47" s="45"/>
      <c r="S47" s="45"/>
      <c r="T47" s="45"/>
      <c r="U47" s="45"/>
      <c r="V47" s="45"/>
      <c r="W47" s="45"/>
      <c r="X47" s="45"/>
      <c r="Y47" s="45"/>
      <c r="Z47" s="45"/>
      <c r="AA47" s="45"/>
      <c r="AB47" s="45"/>
      <c r="AC47" s="283"/>
      <c r="AD47" s="361">
        <f t="shared" si="0"/>
        <v>0</v>
      </c>
    </row>
    <row r="48" spans="1:30" s="53" customFormat="1" ht="12">
      <c r="A48" s="44"/>
      <c r="B48" s="70"/>
      <c r="C48" s="243" t="s">
        <v>419</v>
      </c>
      <c r="D48" s="273">
        <f>D38</f>
        <v>26.21</v>
      </c>
      <c r="E48" s="236"/>
      <c r="F48" s="45"/>
      <c r="G48" s="45"/>
      <c r="H48" s="45"/>
      <c r="I48" s="45"/>
      <c r="J48" s="45"/>
      <c r="K48" s="45"/>
      <c r="L48" s="45"/>
      <c r="M48" s="45"/>
      <c r="N48" s="45"/>
      <c r="O48" s="45"/>
      <c r="P48" s="45"/>
      <c r="Q48" s="45"/>
      <c r="R48" s="45"/>
      <c r="S48" s="45"/>
      <c r="T48" s="45"/>
      <c r="U48" s="45"/>
      <c r="V48" s="45"/>
      <c r="W48" s="45"/>
      <c r="X48" s="45"/>
      <c r="Y48" s="45"/>
      <c r="Z48" s="45"/>
      <c r="AA48" s="45"/>
      <c r="AB48" s="45"/>
      <c r="AC48" s="283"/>
      <c r="AD48" s="361">
        <f t="shared" si="0"/>
        <v>0</v>
      </c>
    </row>
    <row r="49" spans="1:30" s="53" customFormat="1" ht="12">
      <c r="A49" s="44"/>
      <c r="B49" s="70"/>
      <c r="C49" s="78" t="s">
        <v>416</v>
      </c>
      <c r="D49" s="273"/>
      <c r="E49" s="236"/>
      <c r="F49" s="275">
        <f>+(F43*$D$46)-($D$44*$D$47)-($D$45*$D$48)</f>
        <v>-6.0076650554081157</v>
      </c>
      <c r="G49" s="275">
        <f>+(G43*$D$46)-($D$44*$D$47)-($D$45*$D$48)</f>
        <v>-5.9929990728725828</v>
      </c>
      <c r="H49" s="275">
        <f t="shared" ref="H49:AC49" si="4">+(H43*$D$46)-($D$44*$D$47)-($D$45*$D$48)</f>
        <v>-5.9782322273953099</v>
      </c>
      <c r="I49" s="275">
        <f t="shared" si="4"/>
        <v>-5.9633634748829563</v>
      </c>
      <c r="J49" s="275">
        <f t="shared" si="4"/>
        <v>-5.9483917567815627</v>
      </c>
      <c r="K49" s="275">
        <f t="shared" si="4"/>
        <v>-5.9333159998253358</v>
      </c>
      <c r="L49" s="275">
        <f t="shared" si="4"/>
        <v>-5.9181351157801645</v>
      </c>
      <c r="M49" s="275">
        <f t="shared" si="4"/>
        <v>-5.9028480011817726</v>
      </c>
      <c r="N49" s="275">
        <f t="shared" si="4"/>
        <v>-5.8874535370683425</v>
      </c>
      <c r="O49" s="275">
        <f t="shared" si="4"/>
        <v>-5.8719505887074863</v>
      </c>
      <c r="P49" s="275">
        <f t="shared" si="4"/>
        <v>-5.8563380053174274</v>
      </c>
      <c r="Q49" s="275">
        <f t="shared" si="4"/>
        <v>-5.8406146197822455</v>
      </c>
      <c r="R49" s="275">
        <f t="shared" si="4"/>
        <v>-5.8247792483610379</v>
      </c>
      <c r="S49" s="275">
        <f t="shared" si="4"/>
        <v>-5.8088306903908418</v>
      </c>
      <c r="T49" s="275">
        <f t="shared" si="4"/>
        <v>-5.7927677279831675</v>
      </c>
      <c r="U49" s="275">
        <f t="shared" si="4"/>
        <v>-5.7765891257139694</v>
      </c>
      <c r="V49" s="275">
        <f t="shared" si="4"/>
        <v>-5.7602936303069114</v>
      </c>
      <c r="W49" s="275">
        <f t="shared" si="4"/>
        <v>-5.7438799703097256</v>
      </c>
      <c r="X49" s="275">
        <f t="shared" si="4"/>
        <v>-5.727346855763515</v>
      </c>
      <c r="Y49" s="275">
        <f t="shared" si="4"/>
        <v>-5.7106929778648077</v>
      </c>
      <c r="Z49" s="275">
        <f t="shared" si="4"/>
        <v>-5.6939170086201782</v>
      </c>
      <c r="AA49" s="275">
        <f t="shared" si="4"/>
        <v>-5.6770176004932429</v>
      </c>
      <c r="AB49" s="275">
        <f t="shared" si="4"/>
        <v>-5.6599933860438378</v>
      </c>
      <c r="AC49" s="288">
        <f t="shared" si="4"/>
        <v>-5.6428429775591695</v>
      </c>
      <c r="AD49" s="369">
        <f t="shared" si="0"/>
        <v>-139.92025865441371</v>
      </c>
    </row>
    <row r="50" spans="1:30" s="53" customFormat="1" ht="12">
      <c r="A50" s="44"/>
      <c r="B50" s="70"/>
      <c r="D50" s="273"/>
      <c r="E50" s="236"/>
      <c r="F50" s="275">
        <f>F49*F41</f>
        <v>0</v>
      </c>
      <c r="G50" s="275">
        <f t="shared" ref="G50:AC50" si="5">G49*G41</f>
        <v>-9988.0498856602717</v>
      </c>
      <c r="H50" s="275">
        <f t="shared" si="5"/>
        <v>-40313.783942570502</v>
      </c>
      <c r="I50" s="275">
        <f t="shared" si="5"/>
        <v>-40672.400669046969</v>
      </c>
      <c r="J50" s="275">
        <f t="shared" si="5"/>
        <v>-41028.018895518828</v>
      </c>
      <c r="K50" s="275">
        <f t="shared" si="5"/>
        <v>-41380.607367005417</v>
      </c>
      <c r="L50" s="275">
        <f t="shared" si="5"/>
        <v>-41730.13439262817</v>
      </c>
      <c r="M50" s="275">
        <f t="shared" si="5"/>
        <v>-42076.567837985</v>
      </c>
      <c r="N50" s="275">
        <f t="shared" si="5"/>
        <v>-42419.875117364034</v>
      </c>
      <c r="O50" s="275">
        <f t="shared" si="5"/>
        <v>-42588.999011175285</v>
      </c>
      <c r="P50" s="275">
        <f t="shared" si="5"/>
        <v>-42755.839633882264</v>
      </c>
      <c r="Q50" s="275">
        <f t="shared" si="5"/>
        <v>-42920.372679001215</v>
      </c>
      <c r="R50" s="275">
        <f t="shared" si="5"/>
        <v>-43082.573493814707</v>
      </c>
      <c r="S50" s="275">
        <f t="shared" si="5"/>
        <v>-43242.417073184566</v>
      </c>
      <c r="T50" s="275">
        <f t="shared" si="5"/>
        <v>-43399.878053231987</v>
      </c>
      <c r="U50" s="275">
        <f t="shared" si="5"/>
        <v>-43554.93070488076</v>
      </c>
      <c r="V50" s="275">
        <f t="shared" si="5"/>
        <v>-43707.548927260832</v>
      </c>
      <c r="W50" s="275">
        <f t="shared" si="5"/>
        <v>-43857.706240968284</v>
      </c>
      <c r="X50" s="275">
        <f t="shared" si="5"/>
        <v>-44005.375781178132</v>
      </c>
      <c r="Y50" s="275">
        <f t="shared" si="5"/>
        <v>-44150.530290606141</v>
      </c>
      <c r="Z50" s="275">
        <f t="shared" si="5"/>
        <v>-44293.142112316069</v>
      </c>
      <c r="AA50" s="275">
        <f t="shared" si="5"/>
        <v>-44433.183182367866</v>
      </c>
      <c r="AB50" s="275">
        <f t="shared" si="5"/>
        <v>-44570.625022303189</v>
      </c>
      <c r="AC50" s="288">
        <f t="shared" si="5"/>
        <v>-44705.43873146367</v>
      </c>
      <c r="AD50" s="369">
        <f t="shared" ref="AD50:AD85" si="6">SUM(F50:AC50)</f>
        <v>-954877.99904541404</v>
      </c>
    </row>
    <row r="51" spans="1:30" s="53" customFormat="1" ht="12">
      <c r="A51" s="44"/>
      <c r="B51" s="70"/>
      <c r="C51" s="62" t="s">
        <v>429</v>
      </c>
      <c r="D51" s="229"/>
      <c r="E51" s="236"/>
      <c r="F51" s="309">
        <f>F50</f>
        <v>0</v>
      </c>
      <c r="G51" s="309">
        <f t="shared" ref="G51:AC51" si="7">G50</f>
        <v>-9988.0498856602717</v>
      </c>
      <c r="H51" s="309">
        <f t="shared" si="7"/>
        <v>-40313.783942570502</v>
      </c>
      <c r="I51" s="309">
        <f t="shared" si="7"/>
        <v>-40672.400669046969</v>
      </c>
      <c r="J51" s="309">
        <f t="shared" si="7"/>
        <v>-41028.018895518828</v>
      </c>
      <c r="K51" s="309">
        <f t="shared" si="7"/>
        <v>-41380.607367005417</v>
      </c>
      <c r="L51" s="309">
        <f t="shared" si="7"/>
        <v>-41730.13439262817</v>
      </c>
      <c r="M51" s="309">
        <f t="shared" si="7"/>
        <v>-42076.567837985</v>
      </c>
      <c r="N51" s="309">
        <f t="shared" si="7"/>
        <v>-42419.875117364034</v>
      </c>
      <c r="O51" s="309">
        <f t="shared" si="7"/>
        <v>-42588.999011175285</v>
      </c>
      <c r="P51" s="309">
        <f t="shared" si="7"/>
        <v>-42755.839633882264</v>
      </c>
      <c r="Q51" s="309">
        <f t="shared" si="7"/>
        <v>-42920.372679001215</v>
      </c>
      <c r="R51" s="309">
        <f t="shared" si="7"/>
        <v>-43082.573493814707</v>
      </c>
      <c r="S51" s="309">
        <f t="shared" si="7"/>
        <v>-43242.417073184566</v>
      </c>
      <c r="T51" s="309">
        <f t="shared" si="7"/>
        <v>-43399.878053231987</v>
      </c>
      <c r="U51" s="309">
        <f t="shared" si="7"/>
        <v>-43554.93070488076</v>
      </c>
      <c r="V51" s="309">
        <f t="shared" si="7"/>
        <v>-43707.548927260832</v>
      </c>
      <c r="W51" s="309">
        <f t="shared" si="7"/>
        <v>-43857.706240968284</v>
      </c>
      <c r="X51" s="309">
        <f t="shared" si="7"/>
        <v>-44005.375781178132</v>
      </c>
      <c r="Y51" s="309">
        <f t="shared" si="7"/>
        <v>-44150.530290606141</v>
      </c>
      <c r="Z51" s="309">
        <f t="shared" si="7"/>
        <v>-44293.142112316069</v>
      </c>
      <c r="AA51" s="309">
        <f t="shared" si="7"/>
        <v>-44433.183182367866</v>
      </c>
      <c r="AB51" s="309">
        <f t="shared" si="7"/>
        <v>-44570.625022303189</v>
      </c>
      <c r="AC51" s="340">
        <f t="shared" si="7"/>
        <v>-44705.43873146367</v>
      </c>
      <c r="AD51" s="370">
        <f t="shared" si="6"/>
        <v>-954877.99904541404</v>
      </c>
    </row>
    <row r="52" spans="1:30" s="53" customFormat="1" ht="12">
      <c r="A52" s="44"/>
      <c r="B52" s="70"/>
      <c r="D52" s="229"/>
      <c r="E52" s="236"/>
      <c r="F52" s="252"/>
      <c r="G52" s="252"/>
      <c r="H52" s="252"/>
      <c r="I52" s="252"/>
      <c r="J52" s="252"/>
      <c r="K52" s="252"/>
      <c r="L52" s="252"/>
      <c r="M52" s="252"/>
      <c r="N52" s="252"/>
      <c r="O52" s="252"/>
      <c r="P52" s="252"/>
      <c r="Q52" s="252"/>
      <c r="R52" s="252"/>
      <c r="S52" s="252"/>
      <c r="T52" s="252"/>
      <c r="U52" s="252"/>
      <c r="V52" s="252"/>
      <c r="W52" s="252"/>
      <c r="X52" s="252"/>
      <c r="Y52" s="252"/>
      <c r="Z52" s="252"/>
      <c r="AA52" s="252"/>
      <c r="AB52" s="252"/>
      <c r="AC52" s="286"/>
      <c r="AD52" s="371">
        <f t="shared" si="6"/>
        <v>0</v>
      </c>
    </row>
    <row r="53" spans="1:30" s="53" customFormat="1" ht="12">
      <c r="A53" s="44"/>
      <c r="B53" s="70"/>
      <c r="C53" s="63" t="s">
        <v>149</v>
      </c>
      <c r="D53" s="229"/>
      <c r="E53" s="236"/>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86"/>
      <c r="AD53" s="371">
        <f t="shared" si="6"/>
        <v>0</v>
      </c>
    </row>
    <row r="54" spans="1:30" s="53" customFormat="1" ht="12">
      <c r="A54" s="44"/>
      <c r="B54" s="70"/>
      <c r="C54" s="243" t="s">
        <v>488</v>
      </c>
      <c r="D54" s="273">
        <f>'Mode Operating Assumptions'!C33</f>
        <v>8.1905000000000001</v>
      </c>
      <c r="E54" s="236"/>
      <c r="F54" s="252"/>
      <c r="G54" s="252"/>
      <c r="H54" s="252"/>
      <c r="I54" s="252"/>
      <c r="J54" s="252"/>
      <c r="K54" s="252"/>
      <c r="L54" s="252"/>
      <c r="M54" s="252"/>
      <c r="N54" s="252"/>
      <c r="O54" s="252"/>
      <c r="P54" s="252"/>
      <c r="Q54" s="252"/>
      <c r="R54" s="252"/>
      <c r="S54" s="252"/>
      <c r="T54" s="252"/>
      <c r="U54" s="252"/>
      <c r="V54" s="252"/>
      <c r="W54" s="252"/>
      <c r="X54" s="252"/>
      <c r="Y54" s="252"/>
      <c r="Z54" s="252"/>
      <c r="AA54" s="252"/>
      <c r="AB54" s="252"/>
      <c r="AC54" s="286"/>
      <c r="AD54" s="371">
        <f t="shared" si="6"/>
        <v>0</v>
      </c>
    </row>
    <row r="55" spans="1:30" s="53" customFormat="1" ht="12">
      <c r="A55" s="44"/>
      <c r="B55" s="70"/>
      <c r="C55" s="244" t="s">
        <v>477</v>
      </c>
      <c r="D55" s="273">
        <f>'Mode Operating Assumptions'!C155</f>
        <v>2.107407271835358</v>
      </c>
      <c r="E55" s="236"/>
      <c r="F55" s="252"/>
      <c r="G55" s="252"/>
      <c r="H55" s="252"/>
      <c r="I55" s="252"/>
      <c r="J55" s="252"/>
      <c r="K55" s="252"/>
      <c r="L55" s="252"/>
      <c r="M55" s="252"/>
      <c r="N55" s="252"/>
      <c r="O55" s="252"/>
      <c r="P55" s="252"/>
      <c r="Q55" s="252"/>
      <c r="R55" s="252"/>
      <c r="S55" s="252"/>
      <c r="T55" s="252"/>
      <c r="U55" s="252"/>
      <c r="V55" s="252"/>
      <c r="W55" s="252"/>
      <c r="X55" s="252"/>
      <c r="Y55" s="252"/>
      <c r="Z55" s="252"/>
      <c r="AA55" s="252"/>
      <c r="AB55" s="252"/>
      <c r="AC55" s="286"/>
      <c r="AD55" s="371">
        <f t="shared" si="6"/>
        <v>0</v>
      </c>
    </row>
    <row r="56" spans="1:30" s="53" customFormat="1" ht="12">
      <c r="A56" s="44"/>
      <c r="B56" s="70"/>
      <c r="C56" s="243" t="s">
        <v>489</v>
      </c>
      <c r="D56" s="273">
        <v>0.05</v>
      </c>
      <c r="E56" s="236"/>
      <c r="F56" s="252"/>
      <c r="G56" s="252"/>
      <c r="H56" s="252"/>
      <c r="I56" s="252"/>
      <c r="J56" s="252"/>
      <c r="K56" s="252"/>
      <c r="L56" s="252"/>
      <c r="M56" s="252"/>
      <c r="N56" s="252"/>
      <c r="O56" s="252"/>
      <c r="P56" s="252"/>
      <c r="Q56" s="252"/>
      <c r="R56" s="252"/>
      <c r="S56" s="252"/>
      <c r="T56" s="252"/>
      <c r="U56" s="252"/>
      <c r="V56" s="252"/>
      <c r="W56" s="252"/>
      <c r="X56" s="252"/>
      <c r="Y56" s="252"/>
      <c r="Z56" s="252"/>
      <c r="AA56" s="252"/>
      <c r="AB56" s="252"/>
      <c r="AC56" s="286"/>
      <c r="AD56" s="371">
        <f t="shared" si="6"/>
        <v>0</v>
      </c>
    </row>
    <row r="57" spans="1:30" s="53" customFormat="1" ht="12">
      <c r="A57" s="44"/>
      <c r="B57" s="70"/>
      <c r="C57" s="78" t="s">
        <v>490</v>
      </c>
      <c r="D57" s="273">
        <f>+D54-D55-D56</f>
        <v>6.0330927281646423</v>
      </c>
      <c r="E57" s="236"/>
      <c r="F57" s="275">
        <f t="shared" ref="F57:AC57" si="8">$D57*F41</f>
        <v>0</v>
      </c>
      <c r="G57" s="275">
        <f t="shared" si="8"/>
        <v>10054.870758529789</v>
      </c>
      <c r="H57" s="275">
        <f t="shared" si="8"/>
        <v>40683.731828646465</v>
      </c>
      <c r="I57" s="275">
        <f t="shared" si="8"/>
        <v>41147.98062317376</v>
      </c>
      <c r="J57" s="275">
        <f t="shared" si="8"/>
        <v>41612.229417701055</v>
      </c>
      <c r="K57" s="275">
        <f t="shared" si="8"/>
        <v>42076.47821222835</v>
      </c>
      <c r="L57" s="275">
        <f t="shared" si="8"/>
        <v>42540.727006755653</v>
      </c>
      <c r="M57" s="275">
        <f t="shared" si="8"/>
        <v>43004.975801282955</v>
      </c>
      <c r="N57" s="275">
        <f t="shared" si="8"/>
        <v>43469.224595810243</v>
      </c>
      <c r="O57" s="275">
        <f t="shared" si="8"/>
        <v>43757.755851738228</v>
      </c>
      <c r="P57" s="275">
        <f t="shared" si="8"/>
        <v>44046.28710766622</v>
      </c>
      <c r="Q57" s="275">
        <f t="shared" si="8"/>
        <v>44334.818363594197</v>
      </c>
      <c r="R57" s="275">
        <f t="shared" si="8"/>
        <v>44623.349619522189</v>
      </c>
      <c r="S57" s="275">
        <f t="shared" si="8"/>
        <v>44911.880875450152</v>
      </c>
      <c r="T57" s="275">
        <f t="shared" si="8"/>
        <v>45200.412131378143</v>
      </c>
      <c r="U57" s="275">
        <f t="shared" si="8"/>
        <v>45488.943387306135</v>
      </c>
      <c r="V57" s="275">
        <f t="shared" si="8"/>
        <v>45777.47464323412</v>
      </c>
      <c r="W57" s="275">
        <f t="shared" si="8"/>
        <v>46066.00589916209</v>
      </c>
      <c r="X57" s="275">
        <f t="shared" si="8"/>
        <v>46354.537155090089</v>
      </c>
      <c r="Y57" s="275">
        <f t="shared" si="8"/>
        <v>46643.068411018059</v>
      </c>
      <c r="Z57" s="275">
        <f t="shared" si="8"/>
        <v>46931.599666946044</v>
      </c>
      <c r="AA57" s="275">
        <f t="shared" si="8"/>
        <v>47220.130922874021</v>
      </c>
      <c r="AB57" s="275">
        <f t="shared" si="8"/>
        <v>47508.662178802013</v>
      </c>
      <c r="AC57" s="288">
        <f t="shared" si="8"/>
        <v>47797.193434729998</v>
      </c>
      <c r="AD57" s="369">
        <f t="shared" si="6"/>
        <v>991252.33789264015</v>
      </c>
    </row>
    <row r="58" spans="1:30" s="53" customFormat="1" ht="12">
      <c r="A58" s="44"/>
      <c r="B58" s="70"/>
      <c r="C58" s="62" t="s">
        <v>430</v>
      </c>
      <c r="D58" s="229"/>
      <c r="E58" s="236"/>
      <c r="F58" s="309">
        <f>F57</f>
        <v>0</v>
      </c>
      <c r="G58" s="309">
        <f t="shared" ref="G58:AC58" si="9">G57</f>
        <v>10054.870758529789</v>
      </c>
      <c r="H58" s="309">
        <f t="shared" si="9"/>
        <v>40683.731828646465</v>
      </c>
      <c r="I58" s="309">
        <f t="shared" si="9"/>
        <v>41147.98062317376</v>
      </c>
      <c r="J58" s="309">
        <f t="shared" si="9"/>
        <v>41612.229417701055</v>
      </c>
      <c r="K58" s="309">
        <f t="shared" si="9"/>
        <v>42076.47821222835</v>
      </c>
      <c r="L58" s="309">
        <f t="shared" si="9"/>
        <v>42540.727006755653</v>
      </c>
      <c r="M58" s="309">
        <f t="shared" si="9"/>
        <v>43004.975801282955</v>
      </c>
      <c r="N58" s="309">
        <f t="shared" si="9"/>
        <v>43469.224595810243</v>
      </c>
      <c r="O58" s="309">
        <f t="shared" si="9"/>
        <v>43757.755851738228</v>
      </c>
      <c r="P58" s="309">
        <f t="shared" si="9"/>
        <v>44046.28710766622</v>
      </c>
      <c r="Q58" s="309">
        <f t="shared" si="9"/>
        <v>44334.818363594197</v>
      </c>
      <c r="R58" s="309">
        <f t="shared" si="9"/>
        <v>44623.349619522189</v>
      </c>
      <c r="S58" s="309">
        <f t="shared" si="9"/>
        <v>44911.880875450152</v>
      </c>
      <c r="T58" s="309">
        <f t="shared" si="9"/>
        <v>45200.412131378143</v>
      </c>
      <c r="U58" s="309">
        <f t="shared" si="9"/>
        <v>45488.943387306135</v>
      </c>
      <c r="V58" s="309">
        <f t="shared" si="9"/>
        <v>45777.47464323412</v>
      </c>
      <c r="W58" s="309">
        <f t="shared" si="9"/>
        <v>46066.00589916209</v>
      </c>
      <c r="X58" s="309">
        <f t="shared" si="9"/>
        <v>46354.537155090089</v>
      </c>
      <c r="Y58" s="309">
        <f t="shared" si="9"/>
        <v>46643.068411018059</v>
      </c>
      <c r="Z58" s="309">
        <f t="shared" si="9"/>
        <v>46931.599666946044</v>
      </c>
      <c r="AA58" s="309">
        <f t="shared" si="9"/>
        <v>47220.130922874021</v>
      </c>
      <c r="AB58" s="309">
        <f t="shared" si="9"/>
        <v>47508.662178802013</v>
      </c>
      <c r="AC58" s="340">
        <f t="shared" si="9"/>
        <v>47797.193434729998</v>
      </c>
      <c r="AD58" s="370">
        <f t="shared" si="6"/>
        <v>991252.33789264015</v>
      </c>
    </row>
    <row r="59" spans="1:30" s="53" customFormat="1" ht="12">
      <c r="A59" s="44"/>
      <c r="B59" s="70"/>
      <c r="C59" s="110"/>
      <c r="D59" s="229"/>
      <c r="E59" s="236"/>
      <c r="F59" s="45"/>
      <c r="G59" s="62"/>
      <c r="H59" s="59"/>
      <c r="I59" s="59"/>
      <c r="J59" s="59"/>
      <c r="K59" s="59"/>
      <c r="L59" s="59"/>
      <c r="M59" s="59"/>
      <c r="N59" s="59"/>
      <c r="O59" s="59"/>
      <c r="P59" s="59"/>
      <c r="Q59" s="59"/>
      <c r="R59" s="59"/>
      <c r="S59" s="59"/>
      <c r="T59" s="59"/>
      <c r="U59" s="59"/>
      <c r="V59" s="59"/>
      <c r="W59" s="59"/>
      <c r="X59" s="59"/>
      <c r="Y59" s="59"/>
      <c r="AC59" s="283"/>
      <c r="AD59" s="361">
        <f t="shared" si="6"/>
        <v>0</v>
      </c>
    </row>
    <row r="60" spans="1:30" s="53" customFormat="1" ht="12">
      <c r="A60" s="44"/>
      <c r="B60" s="5" t="s">
        <v>277</v>
      </c>
      <c r="C60" s="55"/>
      <c r="D60" s="229"/>
      <c r="E60" s="236"/>
      <c r="F60" s="45"/>
      <c r="G60" s="59"/>
      <c r="H60" s="59"/>
      <c r="I60" s="59"/>
      <c r="J60" s="59"/>
      <c r="K60" s="59"/>
      <c r="L60" s="59"/>
      <c r="M60" s="59"/>
      <c r="N60" s="59"/>
      <c r="O60" s="59"/>
      <c r="P60" s="59"/>
      <c r="Q60" s="59"/>
      <c r="R60" s="59"/>
      <c r="S60" s="59"/>
      <c r="T60" s="59"/>
      <c r="U60" s="59"/>
      <c r="V60" s="59"/>
      <c r="W60" s="59"/>
      <c r="X60" s="59"/>
      <c r="Y60" s="59"/>
      <c r="AC60" s="283"/>
      <c r="AD60" s="361">
        <f t="shared" si="6"/>
        <v>0</v>
      </c>
    </row>
    <row r="61" spans="1:30" s="53" customFormat="1" ht="12">
      <c r="A61" s="44"/>
      <c r="B61" s="70" t="s">
        <v>463</v>
      </c>
      <c r="C61" s="70" t="s">
        <v>366</v>
      </c>
      <c r="D61" s="229"/>
      <c r="E61" s="236"/>
      <c r="F61" s="45"/>
      <c r="G61" s="59"/>
      <c r="H61" s="59"/>
      <c r="I61" s="59"/>
      <c r="J61" s="59"/>
      <c r="K61" s="59"/>
      <c r="L61" s="59"/>
      <c r="M61" s="59"/>
      <c r="N61" s="59"/>
      <c r="O61" s="59"/>
      <c r="P61" s="59"/>
      <c r="Q61" s="59"/>
      <c r="R61" s="59"/>
      <c r="S61" s="59"/>
      <c r="T61" s="59"/>
      <c r="U61" s="59"/>
      <c r="V61" s="59"/>
      <c r="W61" s="59"/>
      <c r="X61" s="59"/>
      <c r="Y61" s="59"/>
      <c r="AC61" s="283"/>
      <c r="AD61" s="361">
        <f t="shared" si="6"/>
        <v>0</v>
      </c>
    </row>
    <row r="62" spans="1:30" s="53" customFormat="1" ht="12">
      <c r="A62" s="44"/>
      <c r="C62" s="63" t="s">
        <v>131</v>
      </c>
      <c r="D62" s="229"/>
      <c r="E62" s="236"/>
      <c r="F62" s="45"/>
      <c r="G62" s="59"/>
      <c r="H62" s="59"/>
      <c r="I62" s="59"/>
      <c r="J62" s="59"/>
      <c r="K62" s="59"/>
      <c r="L62" s="59"/>
      <c r="M62" s="59"/>
      <c r="N62" s="59"/>
      <c r="O62" s="59"/>
      <c r="P62" s="59"/>
      <c r="Q62" s="59"/>
      <c r="R62" s="59"/>
      <c r="S62" s="59"/>
      <c r="T62" s="59"/>
      <c r="U62" s="59"/>
      <c r="V62" s="59"/>
      <c r="W62" s="59"/>
      <c r="X62" s="59"/>
      <c r="Y62" s="59"/>
      <c r="AC62" s="283"/>
      <c r="AD62" s="361">
        <f t="shared" si="6"/>
        <v>0</v>
      </c>
    </row>
    <row r="63" spans="1:30" s="53" customFormat="1" ht="12">
      <c r="A63" s="44"/>
      <c r="B63" s="70"/>
      <c r="C63" s="245" t="s">
        <v>399</v>
      </c>
      <c r="D63" s="268">
        <f>15/60</f>
        <v>0.25</v>
      </c>
      <c r="E63" s="236"/>
      <c r="F63" s="45"/>
      <c r="G63" s="59"/>
      <c r="H63" s="59"/>
      <c r="I63" s="59"/>
      <c r="J63" s="59"/>
      <c r="K63" s="59"/>
      <c r="L63" s="59"/>
      <c r="M63" s="59"/>
      <c r="N63" s="59"/>
      <c r="O63" s="59"/>
      <c r="P63" s="59"/>
      <c r="Q63" s="59"/>
      <c r="R63" s="59"/>
      <c r="S63" s="59"/>
      <c r="T63" s="59"/>
      <c r="U63" s="59"/>
      <c r="V63" s="59"/>
      <c r="W63" s="59"/>
      <c r="X63" s="59"/>
      <c r="Y63" s="59"/>
      <c r="AC63" s="283"/>
      <c r="AD63" s="361">
        <f t="shared" si="6"/>
        <v>0</v>
      </c>
    </row>
    <row r="64" spans="1:30" s="53" customFormat="1" ht="12">
      <c r="A64" s="44"/>
      <c r="B64" s="70"/>
      <c r="C64" s="243" t="s">
        <v>438</v>
      </c>
      <c r="D64" s="242">
        <f>'Price Assumptions'!$B$3</f>
        <v>13.91</v>
      </c>
      <c r="E64" s="236"/>
      <c r="F64" s="45"/>
      <c r="G64" s="59"/>
      <c r="H64" s="59"/>
      <c r="I64" s="59"/>
      <c r="J64" s="59"/>
      <c r="K64" s="59"/>
      <c r="L64" s="59"/>
      <c r="M64" s="59"/>
      <c r="N64" s="59"/>
      <c r="O64" s="59"/>
      <c r="P64" s="59"/>
      <c r="Q64" s="59"/>
      <c r="R64" s="59"/>
      <c r="S64" s="59"/>
      <c r="T64" s="59"/>
      <c r="U64" s="59"/>
      <c r="V64" s="59"/>
      <c r="W64" s="59"/>
      <c r="X64" s="59"/>
      <c r="Y64" s="59"/>
      <c r="AC64" s="283"/>
      <c r="AD64" s="361">
        <f t="shared" si="6"/>
        <v>0</v>
      </c>
    </row>
    <row r="65" spans="1:30" s="53" customFormat="1" ht="12">
      <c r="A65" s="44"/>
      <c r="B65" s="70"/>
      <c r="C65" s="62" t="s">
        <v>429</v>
      </c>
      <c r="D65" s="229"/>
      <c r="E65" s="236"/>
      <c r="F65" s="305">
        <f>($D$63/3600)*$D$64*F15</f>
        <v>0</v>
      </c>
      <c r="G65" s="305">
        <f>($D$63/3600)*$D$64*G15</f>
        <v>9.7407777850308257</v>
      </c>
      <c r="H65" s="305">
        <f t="shared" ref="H65:AC65" si="10">($D$63/3600)*$D$64*H15</f>
        <v>39.41285778063807</v>
      </c>
      <c r="I65" s="305">
        <f t="shared" si="10"/>
        <v>39.862604421152824</v>
      </c>
      <c r="J65" s="305">
        <f t="shared" si="10"/>
        <v>40.312351061667584</v>
      </c>
      <c r="K65" s="305">
        <f t="shared" si="10"/>
        <v>40.762097702182338</v>
      </c>
      <c r="L65" s="305">
        <f t="shared" si="10"/>
        <v>41.211844342697106</v>
      </c>
      <c r="M65" s="305">
        <f t="shared" si="10"/>
        <v>41.661590983211852</v>
      </c>
      <c r="N65" s="305">
        <f t="shared" si="10"/>
        <v>42.111337623726612</v>
      </c>
      <c r="O65" s="305">
        <f t="shared" si="10"/>
        <v>42.390855771251886</v>
      </c>
      <c r="P65" s="305">
        <f t="shared" si="10"/>
        <v>42.670373918777173</v>
      </c>
      <c r="Q65" s="305">
        <f t="shared" si="10"/>
        <v>42.949892066302453</v>
      </c>
      <c r="R65" s="305">
        <f t="shared" si="10"/>
        <v>43.229410213827741</v>
      </c>
      <c r="S65" s="305">
        <f t="shared" si="10"/>
        <v>43.508928361353</v>
      </c>
      <c r="T65" s="305">
        <f t="shared" si="10"/>
        <v>43.788446508878287</v>
      </c>
      <c r="U65" s="305">
        <f t="shared" si="10"/>
        <v>44.067964656403568</v>
      </c>
      <c r="V65" s="305">
        <f t="shared" si="10"/>
        <v>44.347482803928848</v>
      </c>
      <c r="W65" s="305">
        <f t="shared" si="10"/>
        <v>44.627000951454129</v>
      </c>
      <c r="X65" s="305">
        <f t="shared" si="10"/>
        <v>44.906519098979402</v>
      </c>
      <c r="Y65" s="305">
        <f t="shared" si="10"/>
        <v>45.186037246504682</v>
      </c>
      <c r="Z65" s="305">
        <f t="shared" si="10"/>
        <v>45.46555539402997</v>
      </c>
      <c r="AA65" s="305">
        <f t="shared" si="10"/>
        <v>45.745073541555236</v>
      </c>
      <c r="AB65" s="305">
        <f t="shared" si="10"/>
        <v>46.024591689080516</v>
      </c>
      <c r="AC65" s="306">
        <f t="shared" si="10"/>
        <v>46.304109836605797</v>
      </c>
      <c r="AD65" s="372">
        <f t="shared" si="6"/>
        <v>960.28770375923978</v>
      </c>
    </row>
    <row r="66" spans="1:30" s="53" customFormat="1" ht="12">
      <c r="A66" s="44"/>
      <c r="B66" s="70"/>
      <c r="D66" s="229"/>
      <c r="E66" s="236"/>
      <c r="F66" s="45"/>
      <c r="G66" s="59"/>
      <c r="H66" s="59"/>
      <c r="I66" s="59"/>
      <c r="J66" s="59"/>
      <c r="K66" s="59"/>
      <c r="L66" s="59"/>
      <c r="M66" s="59"/>
      <c r="N66" s="59"/>
      <c r="O66" s="59"/>
      <c r="P66" s="59"/>
      <c r="Q66" s="59"/>
      <c r="R66" s="59"/>
      <c r="S66" s="59"/>
      <c r="T66" s="59"/>
      <c r="U66" s="59"/>
      <c r="V66" s="59"/>
      <c r="W66" s="59"/>
      <c r="X66" s="59"/>
      <c r="Y66" s="59"/>
      <c r="AC66" s="283"/>
      <c r="AD66" s="361">
        <f t="shared" si="6"/>
        <v>0</v>
      </c>
    </row>
    <row r="67" spans="1:30" s="53" customFormat="1" ht="12">
      <c r="A67" s="44"/>
      <c r="B67" s="70"/>
      <c r="D67" s="229"/>
      <c r="E67" s="236"/>
      <c r="F67" s="45"/>
      <c r="G67" s="59"/>
      <c r="H67" s="59"/>
      <c r="I67" s="59"/>
      <c r="J67" s="59"/>
      <c r="K67" s="59"/>
      <c r="L67" s="59"/>
      <c r="M67" s="59"/>
      <c r="N67" s="59"/>
      <c r="O67" s="59"/>
      <c r="P67" s="59"/>
      <c r="Q67" s="59"/>
      <c r="R67" s="59"/>
      <c r="S67" s="59"/>
      <c r="T67" s="59"/>
      <c r="U67" s="59"/>
      <c r="V67" s="59"/>
      <c r="W67" s="59"/>
      <c r="X67" s="59"/>
      <c r="Y67" s="59"/>
      <c r="AC67" s="283"/>
      <c r="AD67" s="361">
        <f t="shared" si="6"/>
        <v>0</v>
      </c>
    </row>
    <row r="68" spans="1:30" s="53" customFormat="1" ht="12">
      <c r="A68" s="44"/>
      <c r="B68" s="270" t="s">
        <v>462</v>
      </c>
      <c r="C68" s="54" t="s">
        <v>426</v>
      </c>
      <c r="D68" s="229"/>
      <c r="E68" s="236"/>
      <c r="F68" s="45">
        <f>F16</f>
        <v>0</v>
      </c>
      <c r="G68" s="263">
        <f t="shared" ref="G68:AC68" si="11">G16</f>
        <v>1008.3910863008189</v>
      </c>
      <c r="H68" s="263">
        <f t="shared" si="11"/>
        <v>4080.1233072695054</v>
      </c>
      <c r="I68" s="263">
        <f t="shared" si="11"/>
        <v>4126.6822693357344</v>
      </c>
      <c r="J68" s="263">
        <f t="shared" si="11"/>
        <v>4173.2412314019639</v>
      </c>
      <c r="K68" s="263">
        <f t="shared" si="11"/>
        <v>4219.8001934681934</v>
      </c>
      <c r="L68" s="263">
        <f t="shared" si="11"/>
        <v>4266.3591555344237</v>
      </c>
      <c r="M68" s="263">
        <f t="shared" si="11"/>
        <v>4312.9181176006523</v>
      </c>
      <c r="N68" s="263">
        <f t="shared" si="11"/>
        <v>4359.4770796668818</v>
      </c>
      <c r="O68" s="263">
        <f t="shared" si="11"/>
        <v>4388.4135377859611</v>
      </c>
      <c r="P68" s="263">
        <f t="shared" si="11"/>
        <v>4417.3499959050414</v>
      </c>
      <c r="Q68" s="263">
        <f t="shared" si="11"/>
        <v>4446.2864540241217</v>
      </c>
      <c r="R68" s="263">
        <f t="shared" si="11"/>
        <v>4475.2229121432019</v>
      </c>
      <c r="S68" s="263">
        <f t="shared" si="11"/>
        <v>4504.1593702622804</v>
      </c>
      <c r="T68" s="263">
        <f t="shared" si="11"/>
        <v>4533.0958283813616</v>
      </c>
      <c r="U68" s="263">
        <f t="shared" si="11"/>
        <v>4562.0322865004409</v>
      </c>
      <c r="V68" s="263">
        <f t="shared" si="11"/>
        <v>4590.9687446195212</v>
      </c>
      <c r="W68" s="263">
        <f t="shared" si="11"/>
        <v>4619.9052027386015</v>
      </c>
      <c r="X68" s="263">
        <f t="shared" si="11"/>
        <v>4648.8416608576808</v>
      </c>
      <c r="Y68" s="263">
        <f t="shared" si="11"/>
        <v>4677.7781189767611</v>
      </c>
      <c r="Z68" s="263">
        <f t="shared" si="11"/>
        <v>4706.7145770958414</v>
      </c>
      <c r="AA68" s="263">
        <f t="shared" si="11"/>
        <v>4735.6510352149198</v>
      </c>
      <c r="AB68" s="263">
        <f t="shared" si="11"/>
        <v>4764.587493334001</v>
      </c>
      <c r="AC68" s="285">
        <f t="shared" si="11"/>
        <v>4793.5239514530804</v>
      </c>
      <c r="AD68" s="363">
        <f t="shared" si="6"/>
        <v>99411.523609870987</v>
      </c>
    </row>
    <row r="69" spans="1:30" s="53" customFormat="1" ht="12">
      <c r="A69" s="44"/>
      <c r="B69" s="70"/>
      <c r="C69" s="63" t="s">
        <v>131</v>
      </c>
      <c r="D69" s="229"/>
      <c r="E69" s="236"/>
      <c r="F69" s="45"/>
      <c r="G69" s="313"/>
      <c r="H69" s="313"/>
      <c r="I69" s="313"/>
      <c r="J69" s="313"/>
      <c r="K69" s="313"/>
      <c r="L69" s="313"/>
      <c r="M69" s="313"/>
      <c r="N69" s="313"/>
      <c r="O69" s="313"/>
      <c r="P69" s="313"/>
      <c r="Q69" s="313"/>
      <c r="R69" s="313"/>
      <c r="S69" s="313"/>
      <c r="T69" s="313"/>
      <c r="U69" s="313"/>
      <c r="V69" s="313"/>
      <c r="W69" s="313"/>
      <c r="X69" s="313"/>
      <c r="Y69" s="313"/>
      <c r="Z69" s="45"/>
      <c r="AA69" s="45"/>
      <c r="AB69" s="45"/>
      <c r="AC69" s="283"/>
      <c r="AD69" s="361">
        <f t="shared" si="6"/>
        <v>0</v>
      </c>
    </row>
    <row r="70" spans="1:30" s="53" customFormat="1" ht="12">
      <c r="A70" s="44"/>
      <c r="B70" s="70"/>
      <c r="C70" s="243" t="s">
        <v>403</v>
      </c>
      <c r="D70" s="229"/>
      <c r="E70" s="236"/>
      <c r="F70" s="318">
        <f>F43</f>
        <v>0.39100279786137265</v>
      </c>
      <c r="G70" s="318">
        <f t="shared" ref="G70:AC70" si="12">G43</f>
        <v>0.39205714599476826</v>
      </c>
      <c r="H70" s="318">
        <f t="shared" si="12"/>
        <v>0.39311874523828177</v>
      </c>
      <c r="I70" s="318">
        <f t="shared" si="12"/>
        <v>0.39418767065254157</v>
      </c>
      <c r="J70" s="318">
        <f t="shared" si="12"/>
        <v>0.39526399833776032</v>
      </c>
      <c r="K70" s="318">
        <f t="shared" si="12"/>
        <v>0.39634780545179538</v>
      </c>
      <c r="L70" s="318">
        <f t="shared" si="12"/>
        <v>0.39743917022858699</v>
      </c>
      <c r="M70" s="318">
        <f t="shared" si="12"/>
        <v>0.39853817199698321</v>
      </c>
      <c r="N70" s="318">
        <f t="shared" si="12"/>
        <v>0.39964489119996166</v>
      </c>
      <c r="O70" s="318">
        <f t="shared" si="12"/>
        <v>0.40075940941425758</v>
      </c>
      <c r="P70" s="318">
        <f t="shared" si="12"/>
        <v>0.40188180937040846</v>
      </c>
      <c r="Q70" s="318">
        <f t="shared" si="12"/>
        <v>0.40301217497322528</v>
      </c>
      <c r="R70" s="318">
        <f t="shared" si="12"/>
        <v>0.40415059132270104</v>
      </c>
      <c r="S70" s="318">
        <f t="shared" si="12"/>
        <v>0.40529714473536788</v>
      </c>
      <c r="T70" s="318">
        <f t="shared" si="12"/>
        <v>0.40645192276611369</v>
      </c>
      <c r="U70" s="318">
        <f t="shared" si="12"/>
        <v>0.40761501423047014</v>
      </c>
      <c r="V70" s="318">
        <f t="shared" si="12"/>
        <v>0.40878650922738302</v>
      </c>
      <c r="W70" s="318">
        <f t="shared" si="12"/>
        <v>0.40996649916247907</v>
      </c>
      <c r="X70" s="318">
        <f t="shared" si="12"/>
        <v>0.41115507677183999</v>
      </c>
      <c r="Y70" s="318">
        <f t="shared" si="12"/>
        <v>0.41235233614629774</v>
      </c>
      <c r="Z70" s="318">
        <f t="shared" si="12"/>
        <v>0.41355837275626389</v>
      </c>
      <c r="AA70" s="318">
        <f t="shared" si="12"/>
        <v>0.41477328347710757</v>
      </c>
      <c r="AB70" s="318">
        <f t="shared" si="12"/>
        <v>0.415997166615095</v>
      </c>
      <c r="AC70" s="321">
        <f t="shared" si="12"/>
        <v>0.41723012193390652</v>
      </c>
      <c r="AD70" s="368">
        <f t="shared" si="6"/>
        <v>9.6905878298649686</v>
      </c>
    </row>
    <row r="71" spans="1:30" s="53" customFormat="1" ht="12">
      <c r="A71" s="44"/>
      <c r="B71" s="70"/>
      <c r="C71" s="243" t="s">
        <v>420</v>
      </c>
      <c r="D71" s="268">
        <f>D44</f>
        <v>0.38127571701364549</v>
      </c>
      <c r="E71" s="236"/>
      <c r="F71" s="45"/>
      <c r="G71" s="313"/>
      <c r="H71" s="313"/>
      <c r="I71" s="313"/>
      <c r="J71" s="313"/>
      <c r="K71" s="313"/>
      <c r="L71" s="313"/>
      <c r="M71" s="313"/>
      <c r="N71" s="313"/>
      <c r="O71" s="313"/>
      <c r="P71" s="313"/>
      <c r="Q71" s="313"/>
      <c r="R71" s="313"/>
      <c r="S71" s="313"/>
      <c r="T71" s="313"/>
      <c r="U71" s="313"/>
      <c r="V71" s="313"/>
      <c r="W71" s="313"/>
      <c r="X71" s="313"/>
      <c r="Y71" s="313"/>
      <c r="Z71" s="45"/>
      <c r="AA71" s="45"/>
      <c r="AB71" s="45"/>
      <c r="AC71" s="283"/>
      <c r="AD71" s="361">
        <f t="shared" si="6"/>
        <v>0</v>
      </c>
    </row>
    <row r="72" spans="1:30" s="53" customFormat="1" ht="12">
      <c r="A72" s="44"/>
      <c r="B72" s="70"/>
      <c r="C72" s="243" t="s">
        <v>439</v>
      </c>
      <c r="D72" s="268">
        <f>'Mode Operating Assumptions'!C59</f>
        <v>0.1336</v>
      </c>
      <c r="E72" s="236"/>
      <c r="F72" s="45"/>
      <c r="G72" s="313"/>
      <c r="H72" s="313"/>
      <c r="I72" s="313"/>
      <c r="J72" s="313"/>
      <c r="K72" s="313"/>
      <c r="L72" s="313"/>
      <c r="M72" s="313"/>
      <c r="N72" s="313"/>
      <c r="O72" s="313"/>
      <c r="P72" s="313"/>
      <c r="Q72" s="313"/>
      <c r="R72" s="313"/>
      <c r="S72" s="313"/>
      <c r="T72" s="313"/>
      <c r="U72" s="313"/>
      <c r="V72" s="313"/>
      <c r="W72" s="313"/>
      <c r="X72" s="313"/>
      <c r="Y72" s="313"/>
      <c r="Z72" s="45"/>
      <c r="AA72" s="45"/>
      <c r="AB72" s="45"/>
      <c r="AC72" s="283"/>
      <c r="AD72" s="361">
        <f t="shared" si="6"/>
        <v>0</v>
      </c>
    </row>
    <row r="73" spans="1:30" s="53" customFormat="1" ht="12">
      <c r="A73" s="44"/>
      <c r="B73" s="70"/>
      <c r="C73" s="243" t="s">
        <v>400</v>
      </c>
      <c r="D73" s="229">
        <f>D46</f>
        <v>13.91</v>
      </c>
      <c r="E73" s="236"/>
      <c r="F73" s="45"/>
      <c r="G73" s="313"/>
      <c r="H73" s="313"/>
      <c r="I73" s="313"/>
      <c r="J73" s="313"/>
      <c r="K73" s="313"/>
      <c r="L73" s="313"/>
      <c r="M73" s="313"/>
      <c r="N73" s="313"/>
      <c r="O73" s="313"/>
      <c r="P73" s="313"/>
      <c r="Q73" s="313"/>
      <c r="R73" s="313"/>
      <c r="S73" s="313"/>
      <c r="T73" s="313"/>
      <c r="U73" s="313"/>
      <c r="V73" s="313"/>
      <c r="W73" s="313"/>
      <c r="X73" s="313"/>
      <c r="Y73" s="313"/>
      <c r="Z73" s="45"/>
      <c r="AA73" s="45"/>
      <c r="AB73" s="45"/>
      <c r="AC73" s="283"/>
      <c r="AD73" s="361">
        <f t="shared" si="6"/>
        <v>0</v>
      </c>
    </row>
    <row r="74" spans="1:30" s="53" customFormat="1" ht="12">
      <c r="A74" s="44"/>
      <c r="B74" s="70"/>
      <c r="C74" s="243" t="s">
        <v>401</v>
      </c>
      <c r="D74" s="229">
        <f t="shared" ref="D74" si="13">D47</f>
        <v>13.91</v>
      </c>
      <c r="E74" s="236"/>
      <c r="F74" s="45"/>
      <c r="G74" s="313"/>
      <c r="H74" s="313"/>
      <c r="I74" s="313"/>
      <c r="J74" s="313"/>
      <c r="K74" s="313"/>
      <c r="L74" s="313"/>
      <c r="M74" s="313"/>
      <c r="N74" s="313"/>
      <c r="O74" s="313"/>
      <c r="P74" s="313"/>
      <c r="Q74" s="313"/>
      <c r="R74" s="313"/>
      <c r="S74" s="313"/>
      <c r="T74" s="313"/>
      <c r="U74" s="313"/>
      <c r="V74" s="313"/>
      <c r="W74" s="313"/>
      <c r="X74" s="313"/>
      <c r="Y74" s="313"/>
      <c r="Z74" s="45"/>
      <c r="AA74" s="45"/>
      <c r="AB74" s="45"/>
      <c r="AC74" s="283"/>
      <c r="AD74" s="361">
        <f t="shared" si="6"/>
        <v>0</v>
      </c>
    </row>
    <row r="75" spans="1:30" s="53" customFormat="1" ht="12">
      <c r="A75" s="44"/>
      <c r="B75" s="70"/>
      <c r="C75" s="243" t="s">
        <v>438</v>
      </c>
      <c r="D75" s="229">
        <f>'Mode Operating Assumptions'!C103</f>
        <v>13.91</v>
      </c>
      <c r="E75" s="236"/>
      <c r="F75" s="45"/>
      <c r="G75" s="313"/>
      <c r="H75" s="313"/>
      <c r="I75" s="313"/>
      <c r="J75" s="313"/>
      <c r="K75" s="313"/>
      <c r="L75" s="313"/>
      <c r="M75" s="313"/>
      <c r="N75" s="313"/>
      <c r="O75" s="313"/>
      <c r="P75" s="313"/>
      <c r="Q75" s="313"/>
      <c r="R75" s="313"/>
      <c r="S75" s="313"/>
      <c r="T75" s="313"/>
      <c r="U75" s="313"/>
      <c r="V75" s="313"/>
      <c r="W75" s="313"/>
      <c r="X75" s="313"/>
      <c r="Y75" s="313"/>
      <c r="Z75" s="45"/>
      <c r="AA75" s="45"/>
      <c r="AB75" s="45"/>
      <c r="AC75" s="283"/>
      <c r="AD75" s="361">
        <f t="shared" si="6"/>
        <v>0</v>
      </c>
    </row>
    <row r="76" spans="1:30" s="53" customFormat="1" ht="12">
      <c r="A76" s="44"/>
      <c r="B76" s="70"/>
      <c r="C76" s="78" t="s">
        <v>440</v>
      </c>
      <c r="D76" s="229"/>
      <c r="E76" s="236"/>
      <c r="F76" s="275">
        <f>+(F70*$D$73)-($D$71*$D$74)-($D$72*$D$75)</f>
        <v>-1.7230723054081152</v>
      </c>
      <c r="G76" s="275">
        <f t="shared" ref="G76:AC76" si="14">+(G70*$D$73)-($D$71*$D$74)-($D$72*$D$75)</f>
        <v>-1.7084063228725823</v>
      </c>
      <c r="H76" s="275">
        <f t="shared" si="14"/>
        <v>-1.6936394773953094</v>
      </c>
      <c r="I76" s="275">
        <f t="shared" si="14"/>
        <v>-1.6787707248829558</v>
      </c>
      <c r="J76" s="275">
        <f t="shared" si="14"/>
        <v>-1.6637990067815622</v>
      </c>
      <c r="K76" s="275">
        <f t="shared" si="14"/>
        <v>-1.6487232498253352</v>
      </c>
      <c r="L76" s="275">
        <f t="shared" si="14"/>
        <v>-1.633542365780164</v>
      </c>
      <c r="M76" s="275">
        <f t="shared" si="14"/>
        <v>-1.618255251181772</v>
      </c>
      <c r="N76" s="275">
        <f t="shared" si="14"/>
        <v>-1.602860787068342</v>
      </c>
      <c r="O76" s="275">
        <f t="shared" si="14"/>
        <v>-1.5873578387074858</v>
      </c>
      <c r="P76" s="275">
        <f t="shared" si="14"/>
        <v>-1.5717452553174269</v>
      </c>
      <c r="Q76" s="275">
        <f t="shared" si="14"/>
        <v>-1.556021869782245</v>
      </c>
      <c r="R76" s="275">
        <f t="shared" si="14"/>
        <v>-1.5401864983610374</v>
      </c>
      <c r="S76" s="275">
        <f t="shared" si="14"/>
        <v>-1.5242379403908413</v>
      </c>
      <c r="T76" s="275">
        <f t="shared" si="14"/>
        <v>-1.508174977983167</v>
      </c>
      <c r="U76" s="275">
        <f t="shared" si="14"/>
        <v>-1.4919963757139689</v>
      </c>
      <c r="V76" s="275">
        <f t="shared" si="14"/>
        <v>-1.4757008803069109</v>
      </c>
      <c r="W76" s="275">
        <f t="shared" si="14"/>
        <v>-1.4592872203097251</v>
      </c>
      <c r="X76" s="275">
        <f t="shared" si="14"/>
        <v>-1.4427541057635145</v>
      </c>
      <c r="Y76" s="275">
        <f t="shared" si="14"/>
        <v>-1.4261002278648072</v>
      </c>
      <c r="Z76" s="275">
        <f t="shared" si="14"/>
        <v>-1.4093242586201777</v>
      </c>
      <c r="AA76" s="275">
        <f t="shared" si="14"/>
        <v>-1.3924248504932424</v>
      </c>
      <c r="AB76" s="275">
        <f t="shared" si="14"/>
        <v>-1.3754006360438373</v>
      </c>
      <c r="AC76" s="288">
        <f t="shared" si="14"/>
        <v>-1.358250227559169</v>
      </c>
      <c r="AD76" s="369">
        <f t="shared" si="6"/>
        <v>-37.090032654413697</v>
      </c>
    </row>
    <row r="77" spans="1:30">
      <c r="D77" s="229"/>
      <c r="E77" s="236"/>
      <c r="F77" s="275">
        <f>F76*F68</f>
        <v>0</v>
      </c>
      <c r="G77" s="275">
        <f t="shared" ref="G77:AC77" si="15">G76*G68</f>
        <v>-1722.7417077646708</v>
      </c>
      <c r="H77" s="275">
        <f t="shared" si="15"/>
        <v>-6910.2579058323463</v>
      </c>
      <c r="I77" s="275">
        <f t="shared" si="15"/>
        <v>-6927.753384654392</v>
      </c>
      <c r="J77" s="275">
        <f t="shared" si="15"/>
        <v>-6943.4346158664512</v>
      </c>
      <c r="K77" s="275">
        <f t="shared" si="15"/>
        <v>-6957.2826885884579</v>
      </c>
      <c r="L77" s="275">
        <f t="shared" si="15"/>
        <v>-6969.2784281995655</v>
      </c>
      <c r="M77" s="275">
        <f t="shared" si="15"/>
        <v>-6979.4023917242594</v>
      </c>
      <c r="N77" s="275">
        <f t="shared" si="15"/>
        <v>-6987.634863121255</v>
      </c>
      <c r="O77" s="275">
        <f t="shared" si="15"/>
        <v>-6965.9826286945945</v>
      </c>
      <c r="P77" s="275">
        <f t="shared" si="15"/>
        <v>-6942.9488971402043</v>
      </c>
      <c r="Q77" s="275">
        <f t="shared" si="15"/>
        <v>-6918.5189617780816</v>
      </c>
      <c r="R77" s="275">
        <f t="shared" si="15"/>
        <v>-6892.6779064389229</v>
      </c>
      <c r="S77" s="275">
        <f t="shared" si="15"/>
        <v>-6865.4106017206868</v>
      </c>
      <c r="T77" s="275">
        <f t="shared" si="15"/>
        <v>-6836.7017011646467</v>
      </c>
      <c r="U77" s="275">
        <f t="shared" si="15"/>
        <v>-6806.5356373487684</v>
      </c>
      <c r="V77" s="275">
        <f t="shared" si="15"/>
        <v>-6774.8966178965411</v>
      </c>
      <c r="W77" s="275">
        <f t="shared" si="15"/>
        <v>-6741.7686213988509</v>
      </c>
      <c r="X77" s="275">
        <f t="shared" si="15"/>
        <v>-6707.1353932468946</v>
      </c>
      <c r="Y77" s="275">
        <f t="shared" si="15"/>
        <v>-6670.9804413737684</v>
      </c>
      <c r="Z77" s="275">
        <f t="shared" si="15"/>
        <v>-6633.2870319023805</v>
      </c>
      <c r="AA77" s="275">
        <f t="shared" si="15"/>
        <v>-6594.0381846973032</v>
      </c>
      <c r="AB77" s="275">
        <f t="shared" si="15"/>
        <v>-6553.2166688180978</v>
      </c>
      <c r="AC77" s="288">
        <f t="shared" si="15"/>
        <v>-6510.8049978714735</v>
      </c>
      <c r="AD77" s="369">
        <f t="shared" si="6"/>
        <v>-151812.69027724263</v>
      </c>
    </row>
    <row r="78" spans="1:30" s="53" customFormat="1" ht="12">
      <c r="A78" s="44"/>
      <c r="B78" s="70"/>
      <c r="C78" s="62" t="s">
        <v>429</v>
      </c>
      <c r="D78" s="229"/>
      <c r="E78" s="236"/>
      <c r="F78" s="309">
        <f>F77</f>
        <v>0</v>
      </c>
      <c r="G78" s="309">
        <f t="shared" ref="G78:AC78" si="16">G77</f>
        <v>-1722.7417077646708</v>
      </c>
      <c r="H78" s="309">
        <f t="shared" si="16"/>
        <v>-6910.2579058323463</v>
      </c>
      <c r="I78" s="309">
        <f t="shared" si="16"/>
        <v>-6927.753384654392</v>
      </c>
      <c r="J78" s="309">
        <f t="shared" si="16"/>
        <v>-6943.4346158664512</v>
      </c>
      <c r="K78" s="309">
        <f t="shared" si="16"/>
        <v>-6957.2826885884579</v>
      </c>
      <c r="L78" s="309">
        <f t="shared" si="16"/>
        <v>-6969.2784281995655</v>
      </c>
      <c r="M78" s="309">
        <f t="shared" si="16"/>
        <v>-6979.4023917242594</v>
      </c>
      <c r="N78" s="309">
        <f t="shared" si="16"/>
        <v>-6987.634863121255</v>
      </c>
      <c r="O78" s="309">
        <f t="shared" si="16"/>
        <v>-6965.9826286945945</v>
      </c>
      <c r="P78" s="309">
        <f t="shared" si="16"/>
        <v>-6942.9488971402043</v>
      </c>
      <c r="Q78" s="309">
        <f t="shared" si="16"/>
        <v>-6918.5189617780816</v>
      </c>
      <c r="R78" s="309">
        <f t="shared" si="16"/>
        <v>-6892.6779064389229</v>
      </c>
      <c r="S78" s="309">
        <f t="shared" si="16"/>
        <v>-6865.4106017206868</v>
      </c>
      <c r="T78" s="309">
        <f t="shared" si="16"/>
        <v>-6836.7017011646467</v>
      </c>
      <c r="U78" s="309">
        <f t="shared" si="16"/>
        <v>-6806.5356373487684</v>
      </c>
      <c r="V78" s="309">
        <f t="shared" si="16"/>
        <v>-6774.8966178965411</v>
      </c>
      <c r="W78" s="309">
        <f t="shared" si="16"/>
        <v>-6741.7686213988509</v>
      </c>
      <c r="X78" s="309">
        <f t="shared" si="16"/>
        <v>-6707.1353932468946</v>
      </c>
      <c r="Y78" s="309">
        <f t="shared" si="16"/>
        <v>-6670.9804413737684</v>
      </c>
      <c r="Z78" s="309">
        <f t="shared" si="16"/>
        <v>-6633.2870319023805</v>
      </c>
      <c r="AA78" s="309">
        <f t="shared" si="16"/>
        <v>-6594.0381846973032</v>
      </c>
      <c r="AB78" s="309">
        <f t="shared" si="16"/>
        <v>-6553.2166688180978</v>
      </c>
      <c r="AC78" s="340">
        <f t="shared" si="16"/>
        <v>-6510.8049978714735</v>
      </c>
      <c r="AD78" s="370">
        <f t="shared" si="6"/>
        <v>-151812.69027724263</v>
      </c>
    </row>
    <row r="79" spans="1:30" s="53" customFormat="1" ht="12">
      <c r="A79" s="44"/>
      <c r="B79" s="70"/>
      <c r="C79" s="62"/>
      <c r="D79" s="229"/>
      <c r="E79" s="236"/>
      <c r="F79" s="45"/>
      <c r="G79" s="59"/>
      <c r="H79" s="59"/>
      <c r="I79" s="59"/>
      <c r="J79" s="59"/>
      <c r="K79" s="59"/>
      <c r="L79" s="59"/>
      <c r="M79" s="59"/>
      <c r="N79" s="59"/>
      <c r="O79" s="59"/>
      <c r="P79" s="59"/>
      <c r="Q79" s="59"/>
      <c r="R79" s="59"/>
      <c r="S79" s="59"/>
      <c r="T79" s="59"/>
      <c r="U79" s="59"/>
      <c r="V79" s="59"/>
      <c r="W79" s="59"/>
      <c r="X79" s="59"/>
      <c r="Y79" s="59"/>
      <c r="AC79" s="283"/>
      <c r="AD79" s="361">
        <f t="shared" si="6"/>
        <v>0</v>
      </c>
    </row>
    <row r="80" spans="1:30" s="53" customFormat="1" ht="12">
      <c r="A80" s="44"/>
      <c r="B80" s="70"/>
      <c r="C80" s="63" t="s">
        <v>149</v>
      </c>
      <c r="D80" s="229"/>
      <c r="E80" s="236"/>
      <c r="F80" s="45"/>
      <c r="G80" s="59"/>
      <c r="H80" s="59"/>
      <c r="I80" s="59"/>
      <c r="J80" s="59"/>
      <c r="K80" s="59"/>
      <c r="L80" s="59"/>
      <c r="M80" s="59"/>
      <c r="N80" s="59"/>
      <c r="O80" s="59"/>
      <c r="P80" s="59"/>
      <c r="Q80" s="59"/>
      <c r="R80" s="59"/>
      <c r="S80" s="59"/>
      <c r="T80" s="59"/>
      <c r="U80" s="59"/>
      <c r="V80" s="59"/>
      <c r="W80" s="59"/>
      <c r="X80" s="59"/>
      <c r="Y80" s="59"/>
      <c r="AC80" s="283"/>
      <c r="AD80" s="361">
        <f t="shared" si="6"/>
        <v>0</v>
      </c>
    </row>
    <row r="81" spans="1:30" s="53" customFormat="1" ht="12">
      <c r="A81" s="44"/>
      <c r="B81" s="70"/>
      <c r="C81" s="243" t="s">
        <v>446</v>
      </c>
      <c r="D81" s="273">
        <f>D54</f>
        <v>8.1905000000000001</v>
      </c>
      <c r="E81" s="236"/>
      <c r="F81" s="45"/>
      <c r="G81" s="59"/>
      <c r="H81" s="59"/>
      <c r="I81" s="59"/>
      <c r="J81" s="59"/>
      <c r="K81" s="59"/>
      <c r="L81" s="59"/>
      <c r="M81" s="59"/>
      <c r="N81" s="59"/>
      <c r="O81" s="59"/>
      <c r="P81" s="59"/>
      <c r="Q81" s="59"/>
      <c r="R81" s="59"/>
      <c r="S81" s="59"/>
      <c r="T81" s="59"/>
      <c r="U81" s="59"/>
      <c r="V81" s="59"/>
      <c r="W81" s="59"/>
      <c r="X81" s="59"/>
      <c r="Y81" s="59"/>
      <c r="AC81" s="283"/>
      <c r="AD81" s="361">
        <f t="shared" si="6"/>
        <v>0</v>
      </c>
    </row>
    <row r="82" spans="1:30" s="53" customFormat="1" ht="12">
      <c r="A82" s="44"/>
      <c r="B82" s="70"/>
      <c r="C82" s="244" t="s">
        <v>402</v>
      </c>
      <c r="D82" s="273">
        <f t="shared" ref="D82" si="17">D55</f>
        <v>2.107407271835358</v>
      </c>
      <c r="E82" s="236"/>
      <c r="F82" s="45"/>
      <c r="G82" s="59"/>
      <c r="H82" s="59"/>
      <c r="I82" s="59"/>
      <c r="J82" s="59"/>
      <c r="K82" s="59"/>
      <c r="L82" s="59"/>
      <c r="M82" s="59"/>
      <c r="N82" s="59"/>
      <c r="O82" s="59"/>
      <c r="P82" s="59"/>
      <c r="Q82" s="59"/>
      <c r="R82" s="59"/>
      <c r="S82" s="59"/>
      <c r="T82" s="59"/>
      <c r="U82" s="59"/>
      <c r="V82" s="59"/>
      <c r="W82" s="59"/>
      <c r="X82" s="59"/>
      <c r="Y82" s="59"/>
      <c r="AC82" s="283"/>
      <c r="AD82" s="361">
        <f t="shared" si="6"/>
        <v>0</v>
      </c>
    </row>
    <row r="83" spans="1:30" s="53" customFormat="1" ht="12">
      <c r="A83" s="44"/>
      <c r="B83" s="70"/>
      <c r="C83" s="244" t="s">
        <v>414</v>
      </c>
      <c r="D83" s="273">
        <v>0.1</v>
      </c>
      <c r="E83" s="236"/>
      <c r="F83" s="45"/>
      <c r="G83" s="59"/>
      <c r="H83" s="59"/>
      <c r="I83" s="59"/>
      <c r="J83" s="59"/>
      <c r="K83" s="59"/>
      <c r="L83" s="59"/>
      <c r="M83" s="59"/>
      <c r="N83" s="59"/>
      <c r="O83" s="59"/>
      <c r="P83" s="59"/>
      <c r="Q83" s="59"/>
      <c r="R83" s="59"/>
      <c r="S83" s="59"/>
      <c r="T83" s="59"/>
      <c r="U83" s="59"/>
      <c r="V83" s="59"/>
      <c r="W83" s="59"/>
      <c r="X83" s="59"/>
      <c r="Y83" s="59"/>
      <c r="AC83" s="283"/>
      <c r="AD83" s="361">
        <f t="shared" si="6"/>
        <v>0</v>
      </c>
    </row>
    <row r="84" spans="1:30" s="53" customFormat="1" ht="12">
      <c r="A84" s="44"/>
      <c r="B84" s="70"/>
      <c r="C84" s="78" t="s">
        <v>441</v>
      </c>
      <c r="D84" s="273">
        <f>+D81-D82-D83</f>
        <v>5.9830927281646424</v>
      </c>
      <c r="E84" s="236"/>
      <c r="F84" s="252">
        <f t="shared" ref="F84:AC84" si="18">$D84*F68</f>
        <v>0</v>
      </c>
      <c r="G84" s="252">
        <f t="shared" si="18"/>
        <v>6033.2973755924741</v>
      </c>
      <c r="H84" s="252">
        <f t="shared" si="18"/>
        <v>24411.75608973925</v>
      </c>
      <c r="I84" s="252">
        <f t="shared" si="18"/>
        <v>24690.322677108597</v>
      </c>
      <c r="J84" s="252">
        <f t="shared" si="18"/>
        <v>24968.889264477948</v>
      </c>
      <c r="K84" s="252">
        <f t="shared" si="18"/>
        <v>25247.455851847299</v>
      </c>
      <c r="L84" s="252">
        <f t="shared" si="18"/>
        <v>25526.022439216656</v>
      </c>
      <c r="M84" s="252">
        <f t="shared" si="18"/>
        <v>25804.589026586</v>
      </c>
      <c r="N84" s="252">
        <f t="shared" si="18"/>
        <v>26083.15561395535</v>
      </c>
      <c r="O84" s="252">
        <f t="shared" si="18"/>
        <v>26256.285126106457</v>
      </c>
      <c r="P84" s="252">
        <f t="shared" si="18"/>
        <v>26429.414638257567</v>
      </c>
      <c r="Q84" s="252">
        <f t="shared" si="18"/>
        <v>26602.544150408678</v>
      </c>
      <c r="R84" s="252">
        <f t="shared" si="18"/>
        <v>26775.673662559788</v>
      </c>
      <c r="S84" s="252">
        <f t="shared" si="18"/>
        <v>26948.803174710883</v>
      </c>
      <c r="T84" s="252">
        <f t="shared" si="18"/>
        <v>27121.932686862001</v>
      </c>
      <c r="U84" s="252">
        <f t="shared" si="18"/>
        <v>27295.062199013104</v>
      </c>
      <c r="V84" s="252">
        <f t="shared" si="18"/>
        <v>27468.191711164214</v>
      </c>
      <c r="W84" s="252">
        <f t="shared" si="18"/>
        <v>27641.321223315324</v>
      </c>
      <c r="X84" s="252">
        <f t="shared" si="18"/>
        <v>27814.450735466427</v>
      </c>
      <c r="Y84" s="252">
        <f t="shared" si="18"/>
        <v>27987.580247617538</v>
      </c>
      <c r="Z84" s="252">
        <f t="shared" si="18"/>
        <v>28160.709759768648</v>
      </c>
      <c r="AA84" s="252">
        <f t="shared" si="18"/>
        <v>28333.839271919747</v>
      </c>
      <c r="AB84" s="252">
        <f t="shared" si="18"/>
        <v>28506.968784070865</v>
      </c>
      <c r="AC84" s="286">
        <f t="shared" si="18"/>
        <v>28680.098296221968</v>
      </c>
      <c r="AD84" s="371">
        <f t="shared" si="6"/>
        <v>594788.36400598672</v>
      </c>
    </row>
    <row r="85" spans="1:30" s="53" customFormat="1" ht="12">
      <c r="A85" s="44"/>
      <c r="C85" s="62" t="s">
        <v>430</v>
      </c>
      <c r="D85" s="229"/>
      <c r="E85" s="236"/>
      <c r="F85" s="338">
        <f>F84</f>
        <v>0</v>
      </c>
      <c r="G85" s="338">
        <f t="shared" ref="G85:AC85" si="19">G84</f>
        <v>6033.2973755924741</v>
      </c>
      <c r="H85" s="338">
        <f t="shared" si="19"/>
        <v>24411.75608973925</v>
      </c>
      <c r="I85" s="338">
        <f t="shared" si="19"/>
        <v>24690.322677108597</v>
      </c>
      <c r="J85" s="338">
        <f t="shared" si="19"/>
        <v>24968.889264477948</v>
      </c>
      <c r="K85" s="338">
        <f t="shared" si="19"/>
        <v>25247.455851847299</v>
      </c>
      <c r="L85" s="338">
        <f t="shared" si="19"/>
        <v>25526.022439216656</v>
      </c>
      <c r="M85" s="338">
        <f t="shared" si="19"/>
        <v>25804.589026586</v>
      </c>
      <c r="N85" s="338">
        <f t="shared" si="19"/>
        <v>26083.15561395535</v>
      </c>
      <c r="O85" s="338">
        <f t="shared" si="19"/>
        <v>26256.285126106457</v>
      </c>
      <c r="P85" s="338">
        <f t="shared" si="19"/>
        <v>26429.414638257567</v>
      </c>
      <c r="Q85" s="338">
        <f t="shared" si="19"/>
        <v>26602.544150408678</v>
      </c>
      <c r="R85" s="338">
        <f t="shared" si="19"/>
        <v>26775.673662559788</v>
      </c>
      <c r="S85" s="338">
        <f t="shared" si="19"/>
        <v>26948.803174710883</v>
      </c>
      <c r="T85" s="338">
        <f t="shared" si="19"/>
        <v>27121.932686862001</v>
      </c>
      <c r="U85" s="338">
        <f t="shared" si="19"/>
        <v>27295.062199013104</v>
      </c>
      <c r="V85" s="338">
        <f t="shared" si="19"/>
        <v>27468.191711164214</v>
      </c>
      <c r="W85" s="338">
        <f t="shared" si="19"/>
        <v>27641.321223315324</v>
      </c>
      <c r="X85" s="338">
        <f t="shared" si="19"/>
        <v>27814.450735466427</v>
      </c>
      <c r="Y85" s="338">
        <f t="shared" si="19"/>
        <v>27987.580247617538</v>
      </c>
      <c r="Z85" s="338">
        <f t="shared" si="19"/>
        <v>28160.709759768648</v>
      </c>
      <c r="AA85" s="338">
        <f t="shared" si="19"/>
        <v>28333.839271919747</v>
      </c>
      <c r="AB85" s="338">
        <f t="shared" si="19"/>
        <v>28506.968784070865</v>
      </c>
      <c r="AC85" s="339">
        <f t="shared" si="19"/>
        <v>28680.098296221968</v>
      </c>
      <c r="AD85" s="371">
        <f t="shared" si="6"/>
        <v>594788.36400598672</v>
      </c>
    </row>
    <row r="86" spans="1:30" s="53" customFormat="1" ht="12">
      <c r="A86" s="64" t="s">
        <v>359</v>
      </c>
      <c r="B86" s="64"/>
      <c r="D86" s="228"/>
      <c r="E86" s="236"/>
      <c r="F86" s="45"/>
      <c r="G86" s="57"/>
      <c r="AC86" s="283"/>
      <c r="AD86" s="361">
        <f t="shared" ref="AD86:AD100" si="20">SUM(F86:AC86)</f>
        <v>0</v>
      </c>
    </row>
    <row r="87" spans="1:30" s="53" customFormat="1" ht="12">
      <c r="A87" s="64"/>
      <c r="B87" s="64"/>
      <c r="D87" s="228"/>
      <c r="E87" s="236"/>
      <c r="F87" s="45"/>
      <c r="G87" s="57"/>
      <c r="AC87" s="283"/>
      <c r="AD87" s="361">
        <f t="shared" si="20"/>
        <v>0</v>
      </c>
    </row>
    <row r="88" spans="1:30" s="53" customFormat="1" ht="12">
      <c r="A88" s="45"/>
      <c r="B88" s="45"/>
      <c r="C88" s="64" t="s">
        <v>94</v>
      </c>
      <c r="D88" s="228"/>
      <c r="E88" s="236"/>
      <c r="F88" s="45"/>
      <c r="G88" s="57"/>
      <c r="AC88" s="283"/>
      <c r="AD88" s="361">
        <f t="shared" si="20"/>
        <v>0</v>
      </c>
    </row>
    <row r="89" spans="1:30" s="53" customFormat="1" ht="12">
      <c r="A89" s="45"/>
      <c r="B89" s="45"/>
      <c r="C89" s="55" t="s">
        <v>500</v>
      </c>
      <c r="D89" s="279">
        <v>0.5</v>
      </c>
      <c r="E89" s="236"/>
      <c r="F89" s="45"/>
      <c r="G89" s="57"/>
      <c r="AC89" s="283"/>
      <c r="AD89" s="361">
        <f t="shared" si="20"/>
        <v>0</v>
      </c>
    </row>
    <row r="90" spans="1:30" s="53" customFormat="1" ht="12">
      <c r="A90" s="45"/>
      <c r="B90" s="45"/>
      <c r="C90" s="78"/>
      <c r="D90" s="228"/>
      <c r="E90" s="236"/>
      <c r="F90" s="45"/>
      <c r="G90" s="57"/>
      <c r="AC90" s="283"/>
      <c r="AD90" s="361">
        <f t="shared" si="20"/>
        <v>0</v>
      </c>
    </row>
    <row r="91" spans="1:30" s="53" customFormat="1" ht="12">
      <c r="A91" s="44"/>
      <c r="B91" s="5" t="s">
        <v>367</v>
      </c>
      <c r="C91" s="78" t="s">
        <v>418</v>
      </c>
      <c r="D91" s="273"/>
      <c r="E91" s="236"/>
      <c r="F91" s="45">
        <f>F12</f>
        <v>0</v>
      </c>
      <c r="G91" s="45">
        <f t="shared" ref="G91:AC91" si="21">G12</f>
        <v>833.30981401877375</v>
      </c>
      <c r="H91" s="45">
        <f t="shared" si="21"/>
        <v>3371.7144474441939</v>
      </c>
      <c r="I91" s="45">
        <f t="shared" si="21"/>
        <v>3410.1896388132918</v>
      </c>
      <c r="J91" s="45">
        <f t="shared" si="21"/>
        <v>3448.6648301823898</v>
      </c>
      <c r="K91" s="45">
        <f t="shared" si="21"/>
        <v>3487.1400215514877</v>
      </c>
      <c r="L91" s="45">
        <f t="shared" si="21"/>
        <v>3525.6152129205866</v>
      </c>
      <c r="M91" s="45">
        <f t="shared" si="21"/>
        <v>3564.0904042896846</v>
      </c>
      <c r="N91" s="45">
        <f t="shared" si="21"/>
        <v>3602.5655956587821</v>
      </c>
      <c r="O91" s="45">
        <f t="shared" si="21"/>
        <v>3626.4779793174171</v>
      </c>
      <c r="P91" s="45">
        <f t="shared" si="21"/>
        <v>3650.3903629760521</v>
      </c>
      <c r="Q91" s="45">
        <f t="shared" si="21"/>
        <v>3674.3027466346862</v>
      </c>
      <c r="R91" s="45">
        <f t="shared" si="21"/>
        <v>3698.2151302933216</v>
      </c>
      <c r="S91" s="45">
        <f t="shared" si="21"/>
        <v>3722.1275139519548</v>
      </c>
      <c r="T91" s="45">
        <f t="shared" si="21"/>
        <v>3746.0398976105898</v>
      </c>
      <c r="U91" s="45">
        <f t="shared" si="21"/>
        <v>3769.9522812692253</v>
      </c>
      <c r="V91" s="45">
        <f t="shared" si="21"/>
        <v>3793.8646649278598</v>
      </c>
      <c r="W91" s="45">
        <f t="shared" si="21"/>
        <v>3817.7770485864939</v>
      </c>
      <c r="X91" s="45">
        <f t="shared" si="21"/>
        <v>3841.6894322451294</v>
      </c>
      <c r="Y91" s="45">
        <f t="shared" si="21"/>
        <v>3865.6018159037631</v>
      </c>
      <c r="Z91" s="45">
        <f t="shared" si="21"/>
        <v>3889.5141995623976</v>
      </c>
      <c r="AA91" s="45">
        <f t="shared" si="21"/>
        <v>3913.4265832210322</v>
      </c>
      <c r="AB91" s="45">
        <f t="shared" si="21"/>
        <v>3937.3389668796672</v>
      </c>
      <c r="AC91" s="283">
        <f t="shared" si="21"/>
        <v>3961.2513505383022</v>
      </c>
      <c r="AD91" s="361">
        <f t="shared" si="20"/>
        <v>82151.259938797084</v>
      </c>
    </row>
    <row r="92" spans="1:30" s="53" customFormat="1" ht="12">
      <c r="A92" s="44"/>
      <c r="B92" s="5"/>
      <c r="C92" s="78" t="s">
        <v>417</v>
      </c>
      <c r="D92" s="273"/>
      <c r="E92" s="236"/>
      <c r="F92" s="275">
        <f>$D$89*F49</f>
        <v>-3.0038325277040578</v>
      </c>
      <c r="G92" s="275">
        <f t="shared" ref="G92:AC92" si="22">$D$89*G49</f>
        <v>-2.9964995364362914</v>
      </c>
      <c r="H92" s="275">
        <f t="shared" si="22"/>
        <v>-2.989116113697655</v>
      </c>
      <c r="I92" s="275">
        <f t="shared" si="22"/>
        <v>-2.9816817374414781</v>
      </c>
      <c r="J92" s="275">
        <f t="shared" si="22"/>
        <v>-2.9741958783907814</v>
      </c>
      <c r="K92" s="275">
        <f t="shared" si="22"/>
        <v>-2.9666579999126679</v>
      </c>
      <c r="L92" s="275">
        <f t="shared" si="22"/>
        <v>-2.9590675578900822</v>
      </c>
      <c r="M92" s="275">
        <f t="shared" si="22"/>
        <v>-2.9514240005908863</v>
      </c>
      <c r="N92" s="275">
        <f t="shared" si="22"/>
        <v>-2.9437267685341713</v>
      </c>
      <c r="O92" s="275">
        <f t="shared" si="22"/>
        <v>-2.9359752943537432</v>
      </c>
      <c r="P92" s="275">
        <f t="shared" si="22"/>
        <v>-2.9281690026587137</v>
      </c>
      <c r="Q92" s="275">
        <f t="shared" si="22"/>
        <v>-2.9203073098911227</v>
      </c>
      <c r="R92" s="275">
        <f t="shared" si="22"/>
        <v>-2.9123896241805189</v>
      </c>
      <c r="S92" s="275">
        <f t="shared" si="22"/>
        <v>-2.9044153451954209</v>
      </c>
      <c r="T92" s="275">
        <f t="shared" si="22"/>
        <v>-2.8963838639915838</v>
      </c>
      <c r="U92" s="275">
        <f t="shared" si="22"/>
        <v>-2.8882945628569847</v>
      </c>
      <c r="V92" s="275">
        <f t="shared" si="22"/>
        <v>-2.8801468151534557</v>
      </c>
      <c r="W92" s="275">
        <f t="shared" si="22"/>
        <v>-2.8719399851548628</v>
      </c>
      <c r="X92" s="275">
        <f t="shared" si="22"/>
        <v>-2.8636734278817575</v>
      </c>
      <c r="Y92" s="275">
        <f t="shared" si="22"/>
        <v>-2.8553464889324038</v>
      </c>
      <c r="Z92" s="275">
        <f t="shared" si="22"/>
        <v>-2.8469585043100891</v>
      </c>
      <c r="AA92" s="275">
        <f t="shared" si="22"/>
        <v>-2.8385088002466214</v>
      </c>
      <c r="AB92" s="275">
        <f t="shared" si="22"/>
        <v>-2.8299966930219189</v>
      </c>
      <c r="AC92" s="288">
        <f t="shared" si="22"/>
        <v>-2.8214214887795848</v>
      </c>
      <c r="AD92" s="369">
        <f t="shared" si="20"/>
        <v>-69.960129327206857</v>
      </c>
    </row>
    <row r="93" spans="1:30" s="53" customFormat="1" ht="12">
      <c r="A93" s="44"/>
      <c r="C93" s="319" t="s">
        <v>155</v>
      </c>
      <c r="D93" s="273"/>
      <c r="E93" s="236"/>
      <c r="F93" s="275">
        <f>F92*F91</f>
        <v>0</v>
      </c>
      <c r="G93" s="275">
        <f t="shared" ref="G93:AC93" si="23">G92*G91</f>
        <v>-2497.0124714150679</v>
      </c>
      <c r="H93" s="275">
        <f t="shared" si="23"/>
        <v>-10078.445985642626</v>
      </c>
      <c r="I93" s="275">
        <f t="shared" si="23"/>
        <v>-10168.100167261742</v>
      </c>
      <c r="J93" s="275">
        <f t="shared" si="23"/>
        <v>-10257.004723879707</v>
      </c>
      <c r="K93" s="275">
        <f t="shared" si="23"/>
        <v>-10345.151841751354</v>
      </c>
      <c r="L93" s="275">
        <f t="shared" si="23"/>
        <v>-10432.533598157042</v>
      </c>
      <c r="M93" s="275">
        <f t="shared" si="23"/>
        <v>-10519.14195949625</v>
      </c>
      <c r="N93" s="275">
        <f t="shared" si="23"/>
        <v>-10604.968779341008</v>
      </c>
      <c r="O93" s="275">
        <f t="shared" si="23"/>
        <v>-10647.249752793821</v>
      </c>
      <c r="P93" s="275">
        <f t="shared" si="23"/>
        <v>-10688.959908470566</v>
      </c>
      <c r="Q93" s="275">
        <f t="shared" si="23"/>
        <v>-10730.093169750304</v>
      </c>
      <c r="R93" s="275">
        <f t="shared" si="23"/>
        <v>-10770.643373453677</v>
      </c>
      <c r="S93" s="275">
        <f t="shared" si="23"/>
        <v>-10810.604268296142</v>
      </c>
      <c r="T93" s="275">
        <f t="shared" si="23"/>
        <v>-10849.969513307997</v>
      </c>
      <c r="U93" s="275">
        <f t="shared" si="23"/>
        <v>-10888.73267622019</v>
      </c>
      <c r="V93" s="275">
        <f t="shared" si="23"/>
        <v>-10926.887231815208</v>
      </c>
      <c r="W93" s="275">
        <f t="shared" si="23"/>
        <v>-10964.426560242071</v>
      </c>
      <c r="X93" s="275">
        <f t="shared" si="23"/>
        <v>-11001.343945294533</v>
      </c>
      <c r="Y93" s="275">
        <f t="shared" si="23"/>
        <v>-11037.632572651535</v>
      </c>
      <c r="Z93" s="275">
        <f t="shared" si="23"/>
        <v>-11073.285528079017</v>
      </c>
      <c r="AA93" s="275">
        <f t="shared" si="23"/>
        <v>-11108.295795591966</v>
      </c>
      <c r="AB93" s="275">
        <f t="shared" si="23"/>
        <v>-11142.656255575797</v>
      </c>
      <c r="AC93" s="288">
        <f t="shared" si="23"/>
        <v>-11176.359682865917</v>
      </c>
      <c r="AD93" s="369">
        <f t="shared" si="20"/>
        <v>-238719.49976135351</v>
      </c>
    </row>
    <row r="94" spans="1:30" s="53" customFormat="1" ht="12">
      <c r="A94" s="44"/>
      <c r="B94" s="70"/>
      <c r="C94" s="78" t="s">
        <v>491</v>
      </c>
      <c r="D94" s="273">
        <f>$D$89*(D57)</f>
        <v>3.0165463640823211</v>
      </c>
      <c r="E94" s="236"/>
      <c r="F94" s="275">
        <f>$D94*F91</f>
        <v>0</v>
      </c>
      <c r="G94" s="275">
        <f t="shared" ref="G94:AC94" si="24">$D94*G91</f>
        <v>2513.7176896324472</v>
      </c>
      <c r="H94" s="275">
        <f t="shared" si="24"/>
        <v>10170.932957161616</v>
      </c>
      <c r="I94" s="275">
        <f t="shared" si="24"/>
        <v>10286.99515579344</v>
      </c>
      <c r="J94" s="275">
        <f t="shared" si="24"/>
        <v>10403.057354425264</v>
      </c>
      <c r="K94" s="275">
        <f t="shared" si="24"/>
        <v>10519.119553057088</v>
      </c>
      <c r="L94" s="275">
        <f t="shared" si="24"/>
        <v>10635.181751688913</v>
      </c>
      <c r="M94" s="275">
        <f t="shared" si="24"/>
        <v>10751.243950320739</v>
      </c>
      <c r="N94" s="275">
        <f t="shared" si="24"/>
        <v>10867.306148952561</v>
      </c>
      <c r="O94" s="275">
        <f t="shared" si="24"/>
        <v>10939.438962934557</v>
      </c>
      <c r="P94" s="275">
        <f t="shared" si="24"/>
        <v>11011.571776916555</v>
      </c>
      <c r="Q94" s="275">
        <f t="shared" si="24"/>
        <v>11083.704590898549</v>
      </c>
      <c r="R94" s="275">
        <f t="shared" si="24"/>
        <v>11155.837404880547</v>
      </c>
      <c r="S94" s="275">
        <f t="shared" si="24"/>
        <v>11227.970218862538</v>
      </c>
      <c r="T94" s="275">
        <f t="shared" si="24"/>
        <v>11300.103032844536</v>
      </c>
      <c r="U94" s="275">
        <f t="shared" si="24"/>
        <v>11372.235846826534</v>
      </c>
      <c r="V94" s="275">
        <f t="shared" si="24"/>
        <v>11444.36866080853</v>
      </c>
      <c r="W94" s="275">
        <f t="shared" si="24"/>
        <v>11516.501474790522</v>
      </c>
      <c r="X94" s="275">
        <f t="shared" si="24"/>
        <v>11588.634288772522</v>
      </c>
      <c r="Y94" s="275">
        <f t="shared" si="24"/>
        <v>11660.767102754515</v>
      </c>
      <c r="Z94" s="275">
        <f t="shared" si="24"/>
        <v>11732.899916736511</v>
      </c>
      <c r="AA94" s="275">
        <f t="shared" si="24"/>
        <v>11805.032730718505</v>
      </c>
      <c r="AB94" s="275">
        <f t="shared" si="24"/>
        <v>11877.165544700503</v>
      </c>
      <c r="AC94" s="288">
        <f t="shared" si="24"/>
        <v>11949.298358682499</v>
      </c>
      <c r="AD94" s="369">
        <f t="shared" si="20"/>
        <v>247813.08447316004</v>
      </c>
    </row>
    <row r="95" spans="1:30" s="53" customFormat="1" ht="12">
      <c r="A95" s="45"/>
      <c r="B95" s="45"/>
      <c r="C95" s="78"/>
      <c r="D95" s="273"/>
      <c r="E95" s="236"/>
      <c r="F95" s="275"/>
      <c r="G95" s="275"/>
      <c r="H95" s="275"/>
      <c r="I95" s="275"/>
      <c r="J95" s="275"/>
      <c r="K95" s="275"/>
      <c r="L95" s="275"/>
      <c r="M95" s="275"/>
      <c r="N95" s="275"/>
      <c r="O95" s="275"/>
      <c r="P95" s="275"/>
      <c r="Q95" s="275"/>
      <c r="R95" s="275"/>
      <c r="S95" s="275"/>
      <c r="T95" s="275"/>
      <c r="U95" s="275"/>
      <c r="V95" s="275"/>
      <c r="W95" s="275"/>
      <c r="X95" s="275"/>
      <c r="Y95" s="275"/>
      <c r="Z95" s="275"/>
      <c r="AA95" s="275"/>
      <c r="AB95" s="275"/>
      <c r="AC95" s="288"/>
      <c r="AD95" s="369">
        <f t="shared" si="20"/>
        <v>0</v>
      </c>
    </row>
    <row r="96" spans="1:30" s="53" customFormat="1" ht="12">
      <c r="A96" s="45"/>
      <c r="B96" s="5" t="s">
        <v>277</v>
      </c>
      <c r="C96" s="78"/>
      <c r="D96" s="273"/>
      <c r="E96" s="236"/>
      <c r="F96" s="275"/>
      <c r="G96" s="275"/>
      <c r="H96" s="275"/>
      <c r="I96" s="275"/>
      <c r="J96" s="275"/>
      <c r="K96" s="275"/>
      <c r="L96" s="275"/>
      <c r="M96" s="275"/>
      <c r="N96" s="275"/>
      <c r="O96" s="275"/>
      <c r="P96" s="275"/>
      <c r="Q96" s="275"/>
      <c r="R96" s="275"/>
      <c r="S96" s="275"/>
      <c r="T96" s="275"/>
      <c r="U96" s="275"/>
      <c r="V96" s="275"/>
      <c r="W96" s="275"/>
      <c r="X96" s="275"/>
      <c r="Y96" s="275"/>
      <c r="Z96" s="275"/>
      <c r="AA96" s="275"/>
      <c r="AB96" s="275"/>
      <c r="AC96" s="288"/>
      <c r="AD96" s="369">
        <f t="shared" si="20"/>
        <v>0</v>
      </c>
    </row>
    <row r="97" spans="1:30" s="53" customFormat="1" ht="12">
      <c r="A97" s="44"/>
      <c r="B97" s="5"/>
      <c r="C97" s="78" t="s">
        <v>427</v>
      </c>
      <c r="D97" s="273"/>
      <c r="E97" s="236"/>
      <c r="F97" s="45">
        <f>F17</f>
        <v>0</v>
      </c>
      <c r="G97" s="45">
        <f t="shared" ref="G97:AC97" si="25">G17</f>
        <v>504.19554315040943</v>
      </c>
      <c r="H97" s="45">
        <f t="shared" si="25"/>
        <v>2040.0616536347527</v>
      </c>
      <c r="I97" s="45">
        <f t="shared" si="25"/>
        <v>2063.3411346678672</v>
      </c>
      <c r="J97" s="45">
        <f t="shared" si="25"/>
        <v>2086.6206157009819</v>
      </c>
      <c r="K97" s="45">
        <f t="shared" si="25"/>
        <v>2109.9000967340967</v>
      </c>
      <c r="L97" s="45">
        <f t="shared" si="25"/>
        <v>2133.1795777672119</v>
      </c>
      <c r="M97" s="45">
        <f t="shared" si="25"/>
        <v>2156.4590588003261</v>
      </c>
      <c r="N97" s="45">
        <f t="shared" si="25"/>
        <v>2179.7385398334409</v>
      </c>
      <c r="O97" s="45">
        <f t="shared" si="25"/>
        <v>2194.2067688929806</v>
      </c>
      <c r="P97" s="45">
        <f t="shared" si="25"/>
        <v>2208.6749979525207</v>
      </c>
      <c r="Q97" s="45">
        <f t="shared" si="25"/>
        <v>2223.1432270120608</v>
      </c>
      <c r="R97" s="45">
        <f t="shared" si="25"/>
        <v>2237.611456071601</v>
      </c>
      <c r="S97" s="45">
        <f t="shared" si="25"/>
        <v>2252.0796851311402</v>
      </c>
      <c r="T97" s="45">
        <f t="shared" si="25"/>
        <v>2266.5479141906808</v>
      </c>
      <c r="U97" s="45">
        <f t="shared" si="25"/>
        <v>2281.0161432502205</v>
      </c>
      <c r="V97" s="45">
        <f t="shared" si="25"/>
        <v>2295.4843723097606</v>
      </c>
      <c r="W97" s="45">
        <f t="shared" si="25"/>
        <v>2309.9526013693007</v>
      </c>
      <c r="X97" s="45">
        <f t="shared" si="25"/>
        <v>2324.4208304288404</v>
      </c>
      <c r="Y97" s="45">
        <f t="shared" si="25"/>
        <v>2338.8890594883806</v>
      </c>
      <c r="Z97" s="45">
        <f t="shared" si="25"/>
        <v>2353.3572885479207</v>
      </c>
      <c r="AA97" s="45">
        <f t="shared" si="25"/>
        <v>2367.8255176074599</v>
      </c>
      <c r="AB97" s="45">
        <f t="shared" si="25"/>
        <v>2382.2937466670005</v>
      </c>
      <c r="AC97" s="283">
        <f t="shared" si="25"/>
        <v>2396.7619757265402</v>
      </c>
      <c r="AD97" s="361">
        <f t="shared" si="20"/>
        <v>49705.761804935493</v>
      </c>
    </row>
    <row r="98" spans="1:30" s="53" customFormat="1" ht="12">
      <c r="A98" s="44"/>
      <c r="B98" s="5"/>
      <c r="C98" s="78" t="s">
        <v>443</v>
      </c>
      <c r="D98" s="273"/>
      <c r="E98" s="236"/>
      <c r="F98" s="275">
        <f>F76*$D$89</f>
        <v>-0.86153615270405759</v>
      </c>
      <c r="G98" s="275">
        <f t="shared" ref="G98:AC98" si="26">G76*$D$89</f>
        <v>-0.85420316143629116</v>
      </c>
      <c r="H98" s="275">
        <f t="shared" si="26"/>
        <v>-0.8468197386976547</v>
      </c>
      <c r="I98" s="275">
        <f t="shared" si="26"/>
        <v>-0.83938536244147788</v>
      </c>
      <c r="J98" s="275">
        <f t="shared" si="26"/>
        <v>-0.83189950339078111</v>
      </c>
      <c r="K98" s="275">
        <f t="shared" si="26"/>
        <v>-0.82436162491266762</v>
      </c>
      <c r="L98" s="275">
        <f t="shared" si="26"/>
        <v>-0.81677118289008199</v>
      </c>
      <c r="M98" s="275">
        <f t="shared" si="26"/>
        <v>-0.80912762559088602</v>
      </c>
      <c r="N98" s="275">
        <f t="shared" si="26"/>
        <v>-0.801430393534171</v>
      </c>
      <c r="O98" s="275">
        <f t="shared" si="26"/>
        <v>-0.79367891935374291</v>
      </c>
      <c r="P98" s="275">
        <f t="shared" si="26"/>
        <v>-0.78587262765871346</v>
      </c>
      <c r="Q98" s="275">
        <f t="shared" si="26"/>
        <v>-0.7780109348911225</v>
      </c>
      <c r="R98" s="275">
        <f t="shared" si="26"/>
        <v>-0.77009324918051869</v>
      </c>
      <c r="S98" s="275">
        <f t="shared" si="26"/>
        <v>-0.76211897019542063</v>
      </c>
      <c r="T98" s="275">
        <f t="shared" si="26"/>
        <v>-0.75408748899158351</v>
      </c>
      <c r="U98" s="275">
        <f t="shared" si="26"/>
        <v>-0.74599818785698446</v>
      </c>
      <c r="V98" s="275">
        <f t="shared" si="26"/>
        <v>-0.73785044015345547</v>
      </c>
      <c r="W98" s="275">
        <f t="shared" si="26"/>
        <v>-0.72964361015486257</v>
      </c>
      <c r="X98" s="275">
        <f t="shared" si="26"/>
        <v>-0.72137705288175724</v>
      </c>
      <c r="Y98" s="275">
        <f t="shared" si="26"/>
        <v>-0.71305011393240358</v>
      </c>
      <c r="Z98" s="275">
        <f t="shared" si="26"/>
        <v>-0.70466212931008887</v>
      </c>
      <c r="AA98" s="275">
        <f t="shared" si="26"/>
        <v>-0.69621242524662119</v>
      </c>
      <c r="AB98" s="275">
        <f t="shared" si="26"/>
        <v>-0.68770031802191867</v>
      </c>
      <c r="AC98" s="288">
        <f t="shared" si="26"/>
        <v>-0.67912511377958451</v>
      </c>
      <c r="AD98" s="369">
        <f t="shared" si="20"/>
        <v>-18.545016327206849</v>
      </c>
    </row>
    <row r="99" spans="1:30" s="53" customFormat="1" ht="12">
      <c r="A99" s="44"/>
      <c r="B99" s="5"/>
      <c r="C99" s="319" t="s">
        <v>155</v>
      </c>
      <c r="D99" s="273"/>
      <c r="E99" s="236"/>
      <c r="F99" s="275">
        <f>F98*F97</f>
        <v>0</v>
      </c>
      <c r="G99" s="275">
        <f t="shared" ref="G99:AC99" si="27">G98*G97</f>
        <v>-430.68542694116769</v>
      </c>
      <c r="H99" s="275">
        <f t="shared" si="27"/>
        <v>-1727.5644764580866</v>
      </c>
      <c r="I99" s="275">
        <f t="shared" si="27"/>
        <v>-1731.938346163598</v>
      </c>
      <c r="J99" s="275">
        <f t="shared" si="27"/>
        <v>-1735.8586539666128</v>
      </c>
      <c r="K99" s="275">
        <f t="shared" si="27"/>
        <v>-1739.3206721471145</v>
      </c>
      <c r="L99" s="275">
        <f t="shared" si="27"/>
        <v>-1742.3196070498914</v>
      </c>
      <c r="M99" s="275">
        <f t="shared" si="27"/>
        <v>-1744.8505979310648</v>
      </c>
      <c r="N99" s="275">
        <f t="shared" si="27"/>
        <v>-1746.9087157803137</v>
      </c>
      <c r="O99" s="275">
        <f t="shared" si="27"/>
        <v>-1741.4956571736486</v>
      </c>
      <c r="P99" s="275">
        <f t="shared" si="27"/>
        <v>-1735.7372242850511</v>
      </c>
      <c r="Q99" s="275">
        <f t="shared" si="27"/>
        <v>-1729.6297404445204</v>
      </c>
      <c r="R99" s="275">
        <f t="shared" si="27"/>
        <v>-1723.1694766097307</v>
      </c>
      <c r="S99" s="275">
        <f t="shared" si="27"/>
        <v>-1716.3526504301717</v>
      </c>
      <c r="T99" s="275">
        <f t="shared" si="27"/>
        <v>-1709.1754252911617</v>
      </c>
      <c r="U99" s="275">
        <f t="shared" si="27"/>
        <v>-1701.6339093371921</v>
      </c>
      <c r="V99" s="275">
        <f t="shared" si="27"/>
        <v>-1693.7241544741353</v>
      </c>
      <c r="W99" s="275">
        <f t="shared" si="27"/>
        <v>-1685.4421553497127</v>
      </c>
      <c r="X99" s="275">
        <f t="shared" si="27"/>
        <v>-1676.7838483117237</v>
      </c>
      <c r="Y99" s="275">
        <f t="shared" si="27"/>
        <v>-1667.7451103434421</v>
      </c>
      <c r="Z99" s="275">
        <f t="shared" si="27"/>
        <v>-1658.3217579755951</v>
      </c>
      <c r="AA99" s="275">
        <f t="shared" si="27"/>
        <v>-1648.5095461743258</v>
      </c>
      <c r="AB99" s="275">
        <f t="shared" si="27"/>
        <v>-1638.3041672045244</v>
      </c>
      <c r="AC99" s="288">
        <f t="shared" si="27"/>
        <v>-1627.7012494678684</v>
      </c>
      <c r="AD99" s="369">
        <f t="shared" si="20"/>
        <v>-37953.172569310656</v>
      </c>
    </row>
    <row r="100" spans="1:30" s="53" customFormat="1" ht="12">
      <c r="A100" s="44"/>
      <c r="B100" s="5"/>
      <c r="C100" s="78" t="s">
        <v>444</v>
      </c>
      <c r="D100" s="273">
        <f>D84</f>
        <v>5.9830927281646424</v>
      </c>
      <c r="E100" s="236"/>
      <c r="F100" s="275">
        <f>$D100*F97</f>
        <v>0</v>
      </c>
      <c r="G100" s="275">
        <f t="shared" ref="G100:AC100" si="28">$D100*G97</f>
        <v>3016.648687796237</v>
      </c>
      <c r="H100" s="275">
        <f t="shared" si="28"/>
        <v>12205.878044869625</v>
      </c>
      <c r="I100" s="275">
        <f t="shared" si="28"/>
        <v>12345.161338554299</v>
      </c>
      <c r="J100" s="275">
        <f t="shared" si="28"/>
        <v>12484.444632238974</v>
      </c>
      <c r="K100" s="275">
        <f t="shared" si="28"/>
        <v>12623.727925923649</v>
      </c>
      <c r="L100" s="275">
        <f t="shared" si="28"/>
        <v>12763.011219608328</v>
      </c>
      <c r="M100" s="275">
        <f t="shared" si="28"/>
        <v>12902.294513293</v>
      </c>
      <c r="N100" s="275">
        <f t="shared" si="28"/>
        <v>13041.577806977675</v>
      </c>
      <c r="O100" s="275">
        <f t="shared" si="28"/>
        <v>13128.142563053229</v>
      </c>
      <c r="P100" s="275">
        <f t="shared" si="28"/>
        <v>13214.707319128784</v>
      </c>
      <c r="Q100" s="275">
        <f t="shared" si="28"/>
        <v>13301.272075204339</v>
      </c>
      <c r="R100" s="275">
        <f t="shared" si="28"/>
        <v>13387.836831279894</v>
      </c>
      <c r="S100" s="275">
        <f t="shared" si="28"/>
        <v>13474.401587355442</v>
      </c>
      <c r="T100" s="275">
        <f t="shared" si="28"/>
        <v>13560.966343431</v>
      </c>
      <c r="U100" s="275">
        <f t="shared" si="28"/>
        <v>13647.531099506552</v>
      </c>
      <c r="V100" s="275">
        <f t="shared" si="28"/>
        <v>13734.095855582107</v>
      </c>
      <c r="W100" s="275">
        <f t="shared" si="28"/>
        <v>13820.660611657662</v>
      </c>
      <c r="X100" s="275">
        <f t="shared" si="28"/>
        <v>13907.225367733214</v>
      </c>
      <c r="Y100" s="275">
        <f t="shared" si="28"/>
        <v>13993.790123808769</v>
      </c>
      <c r="Z100" s="275">
        <f t="shared" si="28"/>
        <v>14080.354879884324</v>
      </c>
      <c r="AA100" s="275">
        <f t="shared" si="28"/>
        <v>14166.919635959874</v>
      </c>
      <c r="AB100" s="275">
        <f t="shared" si="28"/>
        <v>14253.484392035432</v>
      </c>
      <c r="AC100" s="288">
        <f t="shared" si="28"/>
        <v>14340.049148110984</v>
      </c>
      <c r="AD100" s="369">
        <f t="shared" si="20"/>
        <v>297394.18200299336</v>
      </c>
    </row>
    <row r="101" spans="1:30" s="53" customFormat="1" ht="12">
      <c r="A101" s="45"/>
      <c r="B101" s="5"/>
      <c r="C101" s="78"/>
      <c r="D101" s="273"/>
      <c r="E101" s="236"/>
      <c r="F101" s="45"/>
      <c r="G101" s="57"/>
      <c r="AC101" s="283"/>
      <c r="AD101" s="361">
        <f t="shared" ref="AD101:AD169" si="29">SUM(F101:AC101)</f>
        <v>0</v>
      </c>
    </row>
    <row r="102" spans="1:30" s="53" customFormat="1" ht="12">
      <c r="A102" s="45"/>
      <c r="B102" s="55"/>
      <c r="C102" s="5" t="s">
        <v>503</v>
      </c>
      <c r="D102" s="273"/>
      <c r="E102" s="239"/>
      <c r="F102" s="83">
        <f>F93+F94+F99+F100</f>
        <v>0</v>
      </c>
      <c r="G102" s="83">
        <f t="shared" ref="G102:AC102" si="30">G93+G94+G99+G100</f>
        <v>2602.6684790724485</v>
      </c>
      <c r="H102" s="83">
        <f t="shared" si="30"/>
        <v>10570.800539930529</v>
      </c>
      <c r="I102" s="83">
        <f t="shared" si="30"/>
        <v>10732.117980922398</v>
      </c>
      <c r="J102" s="83">
        <f t="shared" si="30"/>
        <v>10894.638608817919</v>
      </c>
      <c r="K102" s="83">
        <f t="shared" si="30"/>
        <v>11058.374965082268</v>
      </c>
      <c r="L102" s="83">
        <f t="shared" si="30"/>
        <v>11223.339766090308</v>
      </c>
      <c r="M102" s="83">
        <f t="shared" si="30"/>
        <v>11389.545906186424</v>
      </c>
      <c r="N102" s="83">
        <f t="shared" si="30"/>
        <v>11557.006460808914</v>
      </c>
      <c r="O102" s="83">
        <f t="shared" si="30"/>
        <v>11678.836116020315</v>
      </c>
      <c r="P102" s="83">
        <f t="shared" si="30"/>
        <v>11801.581963289722</v>
      </c>
      <c r="Q102" s="83">
        <f t="shared" si="30"/>
        <v>11925.253755908063</v>
      </c>
      <c r="R102" s="83">
        <f t="shared" si="30"/>
        <v>12049.861386097033</v>
      </c>
      <c r="S102" s="83">
        <f t="shared" si="30"/>
        <v>12175.414887491666</v>
      </c>
      <c r="T102" s="83">
        <f t="shared" si="30"/>
        <v>12301.924437676378</v>
      </c>
      <c r="U102" s="83">
        <f t="shared" si="30"/>
        <v>12429.400360775704</v>
      </c>
      <c r="V102" s="83">
        <f t="shared" si="30"/>
        <v>12557.853130101294</v>
      </c>
      <c r="W102" s="83">
        <f t="shared" si="30"/>
        <v>12687.293370856401</v>
      </c>
      <c r="X102" s="83">
        <f t="shared" si="30"/>
        <v>12817.73186289948</v>
      </c>
      <c r="Y102" s="83">
        <f t="shared" si="30"/>
        <v>12949.179543568307</v>
      </c>
      <c r="Z102" s="83">
        <f t="shared" si="30"/>
        <v>13081.647510566223</v>
      </c>
      <c r="AA102" s="83">
        <f t="shared" si="30"/>
        <v>13215.147024912087</v>
      </c>
      <c r="AB102" s="83">
        <f t="shared" si="30"/>
        <v>13349.689513955615</v>
      </c>
      <c r="AC102" s="292">
        <f t="shared" si="30"/>
        <v>13485.286574459697</v>
      </c>
      <c r="AD102" s="378">
        <f t="shared" si="29"/>
        <v>268534.59414548922</v>
      </c>
    </row>
    <row r="103" spans="1:30" s="53" customFormat="1" ht="12">
      <c r="A103" s="45"/>
      <c r="B103" s="45"/>
      <c r="D103" s="228"/>
      <c r="E103" s="236"/>
      <c r="F103" s="45"/>
      <c r="G103" s="57"/>
      <c r="AC103" s="283"/>
      <c r="AD103" s="361">
        <f t="shared" si="29"/>
        <v>0</v>
      </c>
    </row>
    <row r="104" spans="1:30" s="53" customFormat="1" ht="12">
      <c r="A104" s="45"/>
      <c r="B104" s="5" t="s">
        <v>524</v>
      </c>
      <c r="C104" s="5"/>
      <c r="D104" s="228"/>
      <c r="E104" s="236"/>
      <c r="G104" s="57"/>
      <c r="AC104" s="283"/>
      <c r="AD104" s="361">
        <f t="shared" si="29"/>
        <v>0</v>
      </c>
    </row>
    <row r="105" spans="1:30" s="53" customFormat="1" ht="12">
      <c r="A105" s="45"/>
      <c r="B105" s="55" t="s">
        <v>525</v>
      </c>
      <c r="C105" s="244" t="s">
        <v>526</v>
      </c>
      <c r="D105" s="307">
        <v>5.3999999999999999E-2</v>
      </c>
      <c r="E105" s="236"/>
      <c r="G105" s="57"/>
      <c r="AC105" s="283"/>
      <c r="AD105" s="361">
        <f t="shared" si="29"/>
        <v>0</v>
      </c>
    </row>
    <row r="106" spans="1:30" s="53" customFormat="1" ht="12">
      <c r="A106" s="45"/>
      <c r="C106" s="70" t="s">
        <v>522</v>
      </c>
      <c r="D106" s="228"/>
      <c r="E106" s="236"/>
      <c r="F106" s="275">
        <f>-F23*$D$105</f>
        <v>0</v>
      </c>
      <c r="G106" s="275">
        <f t="shared" ref="G106:AC106" si="31">-G23*$D$105</f>
        <v>938.92876073276659</v>
      </c>
      <c r="H106" s="275">
        <f t="shared" si="31"/>
        <v>3799.0668229574208</v>
      </c>
      <c r="I106" s="275">
        <f t="shared" si="31"/>
        <v>3842.4186029837738</v>
      </c>
      <c r="J106" s="275">
        <f t="shared" si="31"/>
        <v>3885.7703830101273</v>
      </c>
      <c r="K106" s="275">
        <f t="shared" si="31"/>
        <v>3929.1221630364794</v>
      </c>
      <c r="L106" s="275">
        <f t="shared" si="31"/>
        <v>3972.4739430628347</v>
      </c>
      <c r="M106" s="275">
        <f t="shared" si="31"/>
        <v>4015.8257230891868</v>
      </c>
      <c r="N106" s="275">
        <f t="shared" si="31"/>
        <v>4059.1775031155403</v>
      </c>
      <c r="O106" s="275">
        <f t="shared" si="31"/>
        <v>4086.1206932436994</v>
      </c>
      <c r="P106" s="275">
        <f t="shared" si="31"/>
        <v>4113.0638833718576</v>
      </c>
      <c r="Q106" s="275">
        <f t="shared" si="31"/>
        <v>4140.0070735000163</v>
      </c>
      <c r="R106" s="275">
        <f t="shared" si="31"/>
        <v>4166.9502636281759</v>
      </c>
      <c r="S106" s="275">
        <f t="shared" si="31"/>
        <v>4193.8934537563327</v>
      </c>
      <c r="T106" s="275">
        <f t="shared" si="31"/>
        <v>4220.8366438844914</v>
      </c>
      <c r="U106" s="275">
        <f t="shared" si="31"/>
        <v>4247.779834012651</v>
      </c>
      <c r="V106" s="275">
        <f t="shared" si="31"/>
        <v>4274.7230241408088</v>
      </c>
      <c r="W106" s="275">
        <f t="shared" si="31"/>
        <v>4301.6662142689675</v>
      </c>
      <c r="X106" s="275">
        <f t="shared" si="31"/>
        <v>4328.609404397127</v>
      </c>
      <c r="Y106" s="275">
        <f t="shared" si="31"/>
        <v>4355.5525945252848</v>
      </c>
      <c r="Z106" s="275">
        <f t="shared" si="31"/>
        <v>4382.4957846534435</v>
      </c>
      <c r="AA106" s="275">
        <f t="shared" si="31"/>
        <v>4409.4389747816012</v>
      </c>
      <c r="AB106" s="275">
        <f t="shared" si="31"/>
        <v>4436.3821649097608</v>
      </c>
      <c r="AC106" s="288">
        <f t="shared" si="31"/>
        <v>4463.3253550379195</v>
      </c>
      <c r="AD106" s="369">
        <f t="shared" si="29"/>
        <v>92563.629264100266</v>
      </c>
    </row>
    <row r="107" spans="1:30" s="53" customFormat="1" ht="12">
      <c r="A107" s="45"/>
      <c r="B107" s="45"/>
      <c r="C107" s="244" t="s">
        <v>531</v>
      </c>
      <c r="D107" s="228">
        <v>3.2</v>
      </c>
      <c r="E107" s="236"/>
      <c r="G107" s="57"/>
      <c r="AC107" s="283"/>
      <c r="AD107" s="361">
        <f t="shared" si="29"/>
        <v>0</v>
      </c>
    </row>
    <row r="108" spans="1:30" s="53" customFormat="1" ht="12">
      <c r="A108" s="45"/>
      <c r="B108" s="45"/>
      <c r="C108" s="243" t="s">
        <v>400</v>
      </c>
      <c r="D108" s="273">
        <v>13.91</v>
      </c>
      <c r="E108" s="236"/>
      <c r="G108" s="57"/>
      <c r="AC108" s="283"/>
      <c r="AD108" s="361">
        <f t="shared" si="29"/>
        <v>0</v>
      </c>
    </row>
    <row r="109" spans="1:30" s="53" customFormat="1" ht="12">
      <c r="A109" s="45"/>
      <c r="B109" s="45"/>
      <c r="C109" s="70" t="s">
        <v>581</v>
      </c>
      <c r="D109" s="228"/>
      <c r="E109" s="236"/>
      <c r="F109" s="308"/>
      <c r="G109" s="308"/>
      <c r="H109" s="308"/>
      <c r="I109" s="308"/>
      <c r="J109" s="308"/>
      <c r="K109" s="308"/>
      <c r="L109" s="308"/>
      <c r="M109" s="308"/>
      <c r="N109" s="308"/>
      <c r="O109" s="308"/>
      <c r="P109" s="308"/>
      <c r="Q109" s="308"/>
      <c r="R109" s="308"/>
      <c r="S109" s="308"/>
      <c r="T109" s="308"/>
      <c r="U109" s="308"/>
      <c r="V109" s="308"/>
      <c r="W109" s="308"/>
      <c r="X109" s="308"/>
      <c r="Y109" s="308"/>
      <c r="Z109" s="308"/>
      <c r="AA109" s="308"/>
      <c r="AB109" s="308"/>
      <c r="AC109" s="411"/>
      <c r="AD109" s="379"/>
    </row>
    <row r="110" spans="1:30" s="53" customFormat="1" ht="12">
      <c r="A110" s="45"/>
      <c r="B110" s="55" t="s">
        <v>404</v>
      </c>
      <c r="C110" s="244" t="s">
        <v>532</v>
      </c>
      <c r="D110" s="228">
        <v>5</v>
      </c>
      <c r="E110" s="236"/>
      <c r="G110" s="57"/>
      <c r="AC110" s="283"/>
      <c r="AD110" s="361">
        <f t="shared" si="29"/>
        <v>0</v>
      </c>
    </row>
    <row r="111" spans="1:30" s="53" customFormat="1" ht="12">
      <c r="A111" s="45"/>
      <c r="B111" s="45"/>
      <c r="C111" s="243" t="s">
        <v>400</v>
      </c>
      <c r="D111" s="273">
        <v>13.91</v>
      </c>
      <c r="E111" s="236"/>
      <c r="F111" s="45"/>
      <c r="G111" s="57"/>
      <c r="AC111" s="283"/>
      <c r="AD111" s="361">
        <f t="shared" si="29"/>
        <v>0</v>
      </c>
    </row>
    <row r="112" spans="1:30" s="53" customFormat="1" ht="12">
      <c r="A112" s="45"/>
      <c r="B112" s="45"/>
      <c r="C112" s="243" t="s">
        <v>538</v>
      </c>
      <c r="D112" s="344">
        <f>'Mode Operating Assumptions'!C45</f>
        <v>8.4250000000000002E-3</v>
      </c>
      <c r="E112" s="236"/>
      <c r="F112" s="45"/>
      <c r="G112" s="57"/>
      <c r="AC112" s="283"/>
      <c r="AD112" s="361">
        <f t="shared" si="29"/>
        <v>0</v>
      </c>
    </row>
    <row r="113" spans="1:30" s="53" customFormat="1" ht="12">
      <c r="A113" s="45"/>
      <c r="B113" s="45"/>
      <c r="C113" s="70" t="s">
        <v>533</v>
      </c>
      <c r="D113" s="228"/>
      <c r="E113" s="236"/>
      <c r="F113" s="275"/>
      <c r="G113" s="275"/>
      <c r="H113" s="275"/>
      <c r="I113" s="275"/>
      <c r="J113" s="45"/>
      <c r="AC113" s="283"/>
      <c r="AD113" s="361">
        <f t="shared" si="29"/>
        <v>0</v>
      </c>
    </row>
    <row r="114" spans="1:30" s="53" customFormat="1" ht="12">
      <c r="A114" s="45"/>
      <c r="B114" s="45"/>
      <c r="C114" s="5"/>
      <c r="D114" s="228"/>
      <c r="E114" s="236"/>
      <c r="F114" s="45"/>
      <c r="G114" s="57"/>
      <c r="AC114" s="283"/>
      <c r="AD114" s="361">
        <f t="shared" si="29"/>
        <v>0</v>
      </c>
    </row>
    <row r="115" spans="1:30" s="53" customFormat="1" ht="12">
      <c r="A115" s="45"/>
      <c r="B115" s="45"/>
      <c r="C115" s="5" t="s">
        <v>534</v>
      </c>
      <c r="D115" s="228"/>
      <c r="E115" s="236"/>
      <c r="F115" s="309">
        <f>F106+F109+F113</f>
        <v>0</v>
      </c>
      <c r="G115" s="309">
        <f t="shared" ref="G115:AC115" si="32">G106+G109+G113</f>
        <v>938.92876073276659</v>
      </c>
      <c r="H115" s="309">
        <f t="shared" si="32"/>
        <v>3799.0668229574208</v>
      </c>
      <c r="I115" s="309">
        <f t="shared" si="32"/>
        <v>3842.4186029837738</v>
      </c>
      <c r="J115" s="309">
        <f t="shared" si="32"/>
        <v>3885.7703830101273</v>
      </c>
      <c r="K115" s="309">
        <f t="shared" si="32"/>
        <v>3929.1221630364794</v>
      </c>
      <c r="L115" s="309">
        <f t="shared" si="32"/>
        <v>3972.4739430628347</v>
      </c>
      <c r="M115" s="309">
        <f t="shared" si="32"/>
        <v>4015.8257230891868</v>
      </c>
      <c r="N115" s="309">
        <f t="shared" si="32"/>
        <v>4059.1775031155403</v>
      </c>
      <c r="O115" s="309">
        <f t="shared" si="32"/>
        <v>4086.1206932436994</v>
      </c>
      <c r="P115" s="309">
        <f t="shared" si="32"/>
        <v>4113.0638833718576</v>
      </c>
      <c r="Q115" s="309">
        <f t="shared" si="32"/>
        <v>4140.0070735000163</v>
      </c>
      <c r="R115" s="309">
        <f t="shared" si="32"/>
        <v>4166.9502636281759</v>
      </c>
      <c r="S115" s="309">
        <f t="shared" si="32"/>
        <v>4193.8934537563327</v>
      </c>
      <c r="T115" s="309">
        <f t="shared" si="32"/>
        <v>4220.8366438844914</v>
      </c>
      <c r="U115" s="309">
        <f t="shared" si="32"/>
        <v>4247.779834012651</v>
      </c>
      <c r="V115" s="309">
        <f t="shared" si="32"/>
        <v>4274.7230241408088</v>
      </c>
      <c r="W115" s="309">
        <f t="shared" si="32"/>
        <v>4301.6662142689675</v>
      </c>
      <c r="X115" s="309">
        <f t="shared" si="32"/>
        <v>4328.609404397127</v>
      </c>
      <c r="Y115" s="309">
        <f t="shared" si="32"/>
        <v>4355.5525945252848</v>
      </c>
      <c r="Z115" s="309">
        <f t="shared" si="32"/>
        <v>4382.4957846534435</v>
      </c>
      <c r="AA115" s="309">
        <f t="shared" si="32"/>
        <v>4409.4389747816012</v>
      </c>
      <c r="AB115" s="309">
        <f t="shared" si="32"/>
        <v>4436.3821649097608</v>
      </c>
      <c r="AC115" s="340">
        <f t="shared" si="32"/>
        <v>4463.3253550379195</v>
      </c>
      <c r="AD115" s="370">
        <f t="shared" si="29"/>
        <v>92563.629264100266</v>
      </c>
    </row>
    <row r="116" spans="1:30" s="53" customFormat="1" ht="12">
      <c r="A116" s="45"/>
      <c r="B116" s="45"/>
      <c r="C116" s="5"/>
      <c r="D116" s="228"/>
      <c r="E116" s="236"/>
      <c r="F116" s="45"/>
      <c r="G116" s="57"/>
      <c r="AC116" s="283"/>
      <c r="AD116" s="361">
        <f t="shared" si="29"/>
        <v>0</v>
      </c>
    </row>
    <row r="117" spans="1:30" s="53" customFormat="1" ht="12">
      <c r="A117" s="45"/>
      <c r="B117" s="55" t="s">
        <v>518</v>
      </c>
      <c r="C117" s="5"/>
      <c r="D117" s="228"/>
      <c r="E117" s="236"/>
      <c r="F117" s="252">
        <f>F24</f>
        <v>0</v>
      </c>
      <c r="G117" s="252">
        <f t="shared" ref="G117:AC117" si="33">G24</f>
        <v>3064.0878721314166</v>
      </c>
      <c r="H117" s="252">
        <f t="shared" si="33"/>
        <v>12118.41507564978</v>
      </c>
      <c r="I117" s="252">
        <f t="shared" si="33"/>
        <v>11986.558982182913</v>
      </c>
      <c r="J117" s="252">
        <f t="shared" si="33"/>
        <v>11860.389841871658</v>
      </c>
      <c r="K117" s="252">
        <f t="shared" si="33"/>
        <v>11739.547503942889</v>
      </c>
      <c r="L117" s="252">
        <f t="shared" si="33"/>
        <v>11623.701599726281</v>
      </c>
      <c r="M117" s="252">
        <f t="shared" si="33"/>
        <v>11512.548526527422</v>
      </c>
      <c r="N117" s="252">
        <f t="shared" si="33"/>
        <v>11405.808790767398</v>
      </c>
      <c r="O117" s="252">
        <f t="shared" si="33"/>
        <v>11475.43596750482</v>
      </c>
      <c r="P117" s="252">
        <f t="shared" si="33"/>
        <v>11544.989441556034</v>
      </c>
      <c r="Q117" s="252">
        <f t="shared" si="33"/>
        <v>11614.469329884259</v>
      </c>
      <c r="R117" s="252">
        <f t="shared" si="33"/>
        <v>11683.875749205366</v>
      </c>
      <c r="S117" s="252">
        <f t="shared" si="33"/>
        <v>11753.208815988497</v>
      </c>
      <c r="T117" s="252">
        <f t="shared" si="33"/>
        <v>11822.468646456769</v>
      </c>
      <c r="U117" s="252">
        <f t="shared" si="33"/>
        <v>11891.655356587882</v>
      </c>
      <c r="V117" s="252">
        <f t="shared" si="33"/>
        <v>11960.769062114781</v>
      </c>
      <c r="W117" s="252">
        <f t="shared" si="33"/>
        <v>12029.80987852631</v>
      </c>
      <c r="X117" s="252">
        <f t="shared" si="33"/>
        <v>12098.777921067836</v>
      </c>
      <c r="Y117" s="252">
        <f t="shared" si="33"/>
        <v>12167.6733047419</v>
      </c>
      <c r="Z117" s="252">
        <f t="shared" si="33"/>
        <v>12236.496144308872</v>
      </c>
      <c r="AA117" s="252">
        <f t="shared" si="33"/>
        <v>12305.246554287551</v>
      </c>
      <c r="AB117" s="252">
        <f t="shared" si="33"/>
        <v>12373.924648955843</v>
      </c>
      <c r="AC117" s="286">
        <f t="shared" si="33"/>
        <v>12442.530542351364</v>
      </c>
      <c r="AD117" s="371">
        <f t="shared" si="29"/>
        <v>264712.38955633785</v>
      </c>
    </row>
    <row r="118" spans="1:30" s="5" customFormat="1" ht="12">
      <c r="A118" s="58"/>
      <c r="B118" s="58"/>
      <c r="C118" s="5" t="s">
        <v>612</v>
      </c>
      <c r="D118" s="231"/>
      <c r="E118" s="239"/>
      <c r="F118" s="83">
        <f>F117</f>
        <v>0</v>
      </c>
      <c r="G118" s="83">
        <f t="shared" ref="G118:AC118" si="34">G117</f>
        <v>3064.0878721314166</v>
      </c>
      <c r="H118" s="83">
        <f t="shared" si="34"/>
        <v>12118.41507564978</v>
      </c>
      <c r="I118" s="83">
        <f>I117</f>
        <v>11986.558982182913</v>
      </c>
      <c r="J118" s="83">
        <f t="shared" si="34"/>
        <v>11860.389841871658</v>
      </c>
      <c r="K118" s="83">
        <f t="shared" si="34"/>
        <v>11739.547503942889</v>
      </c>
      <c r="L118" s="83">
        <f t="shared" si="34"/>
        <v>11623.701599726281</v>
      </c>
      <c r="M118" s="83">
        <f t="shared" si="34"/>
        <v>11512.548526527422</v>
      </c>
      <c r="N118" s="83">
        <f t="shared" si="34"/>
        <v>11405.808790767398</v>
      </c>
      <c r="O118" s="83">
        <f t="shared" si="34"/>
        <v>11475.43596750482</v>
      </c>
      <c r="P118" s="83">
        <f t="shared" si="34"/>
        <v>11544.989441556034</v>
      </c>
      <c r="Q118" s="83">
        <f t="shared" si="34"/>
        <v>11614.469329884259</v>
      </c>
      <c r="R118" s="83">
        <f t="shared" si="34"/>
        <v>11683.875749205366</v>
      </c>
      <c r="S118" s="83">
        <f t="shared" si="34"/>
        <v>11753.208815988497</v>
      </c>
      <c r="T118" s="83">
        <f t="shared" si="34"/>
        <v>11822.468646456769</v>
      </c>
      <c r="U118" s="83">
        <f t="shared" si="34"/>
        <v>11891.655356587882</v>
      </c>
      <c r="V118" s="83">
        <f t="shared" si="34"/>
        <v>11960.769062114781</v>
      </c>
      <c r="W118" s="83">
        <f t="shared" si="34"/>
        <v>12029.80987852631</v>
      </c>
      <c r="X118" s="83">
        <f t="shared" si="34"/>
        <v>12098.777921067836</v>
      </c>
      <c r="Y118" s="83">
        <f t="shared" si="34"/>
        <v>12167.6733047419</v>
      </c>
      <c r="Z118" s="83">
        <f t="shared" si="34"/>
        <v>12236.496144308872</v>
      </c>
      <c r="AA118" s="83">
        <f t="shared" si="34"/>
        <v>12305.246554287551</v>
      </c>
      <c r="AB118" s="83">
        <f t="shared" si="34"/>
        <v>12373.924648955843</v>
      </c>
      <c r="AC118" s="292">
        <f t="shared" si="34"/>
        <v>12442.530542351364</v>
      </c>
      <c r="AD118" s="378">
        <f t="shared" si="29"/>
        <v>264712.38955633785</v>
      </c>
    </row>
    <row r="119" spans="1:30" s="112" customFormat="1" ht="12">
      <c r="A119" s="109"/>
      <c r="B119" s="109"/>
      <c r="C119" s="110"/>
      <c r="D119" s="227"/>
      <c r="E119" s="235"/>
      <c r="F119" s="111"/>
      <c r="G119" s="111"/>
      <c r="H119" s="111"/>
      <c r="I119" s="111"/>
      <c r="J119" s="111"/>
      <c r="K119" s="111"/>
      <c r="L119" s="111"/>
      <c r="M119" s="111"/>
      <c r="N119" s="111"/>
      <c r="O119" s="111"/>
      <c r="P119" s="111"/>
      <c r="Q119" s="111"/>
      <c r="R119" s="111"/>
      <c r="S119" s="111"/>
      <c r="T119" s="111"/>
      <c r="U119" s="111"/>
      <c r="V119" s="111"/>
      <c r="W119" s="111"/>
      <c r="X119" s="111"/>
      <c r="Y119" s="111"/>
      <c r="Z119" s="111"/>
      <c r="AC119" s="282"/>
      <c r="AD119" s="360">
        <f t="shared" si="29"/>
        <v>0</v>
      </c>
    </row>
    <row r="120" spans="1:30" s="53" customFormat="1" ht="12">
      <c r="A120" s="58" t="s">
        <v>360</v>
      </c>
      <c r="B120" s="58"/>
      <c r="D120" s="228"/>
      <c r="E120" s="236"/>
      <c r="F120" s="45"/>
      <c r="G120" s="57"/>
      <c r="AC120" s="283"/>
      <c r="AD120" s="361">
        <f t="shared" si="29"/>
        <v>0</v>
      </c>
    </row>
    <row r="121" spans="1:30" s="53" customFormat="1" ht="12">
      <c r="A121" s="55"/>
      <c r="B121" s="55"/>
      <c r="D121" s="228"/>
      <c r="E121" s="236"/>
      <c r="F121" s="45"/>
      <c r="G121" s="57"/>
      <c r="AC121" s="283"/>
      <c r="AD121" s="361">
        <f t="shared" si="29"/>
        <v>0</v>
      </c>
    </row>
    <row r="122" spans="1:30" s="53" customFormat="1" ht="12">
      <c r="A122" s="45"/>
      <c r="B122" s="45"/>
      <c r="C122" s="46" t="s">
        <v>88</v>
      </c>
      <c r="D122" s="228"/>
      <c r="E122" s="236"/>
      <c r="F122" s="45"/>
      <c r="G122" s="57"/>
      <c r="L122" s="61"/>
      <c r="AC122" s="283"/>
      <c r="AD122" s="361">
        <f t="shared" si="29"/>
        <v>0</v>
      </c>
    </row>
    <row r="123" spans="1:30" s="53" customFormat="1" ht="12">
      <c r="A123" s="45"/>
      <c r="B123" s="45"/>
      <c r="C123" s="78" t="s">
        <v>42</v>
      </c>
      <c r="D123" s="228"/>
      <c r="E123" s="236"/>
      <c r="F123" s="45"/>
      <c r="G123" s="57"/>
      <c r="L123" s="61"/>
      <c r="AC123" s="283"/>
      <c r="AD123" s="361">
        <f t="shared" si="29"/>
        <v>0</v>
      </c>
    </row>
    <row r="124" spans="1:30" s="53" customFormat="1" ht="12">
      <c r="A124" s="45"/>
      <c r="B124" s="45"/>
      <c r="C124" s="48" t="s">
        <v>97</v>
      </c>
      <c r="D124" s="228"/>
      <c r="E124" s="238"/>
      <c r="F124" s="71">
        <f>((('Emissions Assumptions'!D9/907185)+('Emissions Assumptions'!D11/907185))*'Forest Glen'!F36)+(('Emissions Assumptions'!D10/907185)*'Forest Glen'!F37)</f>
        <v>0</v>
      </c>
      <c r="G124" s="71">
        <f>((('Emissions Assumptions'!E9/907185)+('Emissions Assumptions'!E11/907185))*'Forest Glen'!G36)+(('Emissions Assumptions'!E10/907185)*'Forest Glen'!G37)</f>
        <v>0</v>
      </c>
      <c r="H124" s="71">
        <f>((('Emissions Assumptions'!F9/907185)+('Emissions Assumptions'!F11/907185))*'Forest Glen'!H36)+(('Emissions Assumptions'!F10/907185)*'Forest Glen'!H37)</f>
        <v>0</v>
      </c>
      <c r="I124" s="71">
        <f>((('Emissions Assumptions'!G9/907185)+('Emissions Assumptions'!G11/907185))*'Forest Glen'!I36)+(('Emissions Assumptions'!G10/907185)*'Forest Glen'!I37)</f>
        <v>0</v>
      </c>
      <c r="J124" s="71">
        <f>((('Emissions Assumptions'!H9/907185)+('Emissions Assumptions'!H11/907185))*'Forest Glen'!J36)+(('Emissions Assumptions'!H10/907185)*'Forest Glen'!J37)</f>
        <v>-7.0962567339840771E-2</v>
      </c>
      <c r="K124" s="71">
        <f>((('Emissions Assumptions'!I9/907185)+('Emissions Assumptions'!I11/907185))*'Forest Glen'!K36)+(('Emissions Assumptions'!I10/907185)*'Forest Glen'!K37)</f>
        <v>-9.165657642138858E-2</v>
      </c>
      <c r="L124" s="71">
        <f>((('Emissions Assumptions'!J9/907185)+('Emissions Assumptions'!J11/907185))*'Forest Glen'!L36)+(('Emissions Assumptions'!J10/907185)*'Forest Glen'!L37)</f>
        <v>-8.7650600165133347E-2</v>
      </c>
      <c r="M124" s="71">
        <f>((('Emissions Assumptions'!K9/907185)+('Emissions Assumptions'!K11/907185))*'Forest Glen'!M36)+(('Emissions Assumptions'!K10/907185)*'Forest Glen'!M37)</f>
        <v>-8.3472863503172817E-2</v>
      </c>
      <c r="N124" s="71">
        <f>((('Emissions Assumptions'!L9/907185)+('Emissions Assumptions'!L11/907185))*'Forest Glen'!N36)+(('Emissions Assumptions'!L10/907185)*'Forest Glen'!N37)</f>
        <v>-7.9115832371386585E-2</v>
      </c>
      <c r="O124" s="71">
        <f>((('Emissions Assumptions'!M9/907185)+('Emissions Assumptions'!M11/907185))*'Forest Glen'!O36)+(('Emissions Assumptions'!M10/907185)*'Forest Glen'!O37)</f>
        <v>-7.3634295330687466E-2</v>
      </c>
      <c r="P124" s="71">
        <f>((('Emissions Assumptions'!N9/907185)+('Emissions Assumptions'!N11/907185))*'Forest Glen'!P36)+(('Emissions Assumptions'!N10/907185)*'Forest Glen'!P37)</f>
        <v>-7.3244464284420593E-2</v>
      </c>
      <c r="Q124" s="71">
        <f>((('Emissions Assumptions'!O9/907185)+('Emissions Assumptions'!O11/907185))*'Forest Glen'!Q36)+(('Emissions Assumptions'!O10/907185)*'Forest Glen'!Q37)</f>
        <v>-7.2847226313245972E-2</v>
      </c>
      <c r="R124" s="71">
        <f>((('Emissions Assumptions'!P9/907185)+('Emissions Assumptions'!P11/907185))*'Forest Glen'!R36)+(('Emissions Assumptions'!P10/907185)*'Forest Glen'!R37)</f>
        <v>-7.2442452310536906E-2</v>
      </c>
      <c r="S124" s="71">
        <f>((('Emissions Assumptions'!Q9/907185)+('Emissions Assumptions'!Q11/907185))*'Forest Glen'!S36)+(('Emissions Assumptions'!Q10/907185)*'Forest Glen'!S37)</f>
        <v>-7.2030011294453314E-2</v>
      </c>
      <c r="T124" s="71">
        <f>((('Emissions Assumptions'!R9/907185)+('Emissions Assumptions'!R11/907185))*'Forest Glen'!T36)+(('Emissions Assumptions'!R10/907185)*'Forest Glen'!T37)</f>
        <v>-7.1609770383308888E-2</v>
      </c>
      <c r="U124" s="71">
        <f>((('Emissions Assumptions'!S9/907185)+('Emissions Assumptions'!S11/907185))*'Forest Glen'!U36)+(('Emissions Assumptions'!S10/907185)*'Forest Glen'!U37)</f>
        <v>-7.1181594770633377E-2</v>
      </c>
      <c r="V124" s="71">
        <f>((('Emissions Assumptions'!T9/907185)+('Emissions Assumptions'!T11/907185))*'Forest Glen'!V36)+(('Emissions Assumptions'!T10/907185)*'Forest Glen'!V37)</f>
        <v>-7.0745347699925909E-2</v>
      </c>
      <c r="W124" s="71">
        <f>((('Emissions Assumptions'!U9/907185)+('Emissions Assumptions'!U11/907185))*'Forest Glen'!W36)+(('Emissions Assumptions'!U10/907185)*'Forest Glen'!W37)</f>
        <v>-7.0300890439095737E-2</v>
      </c>
      <c r="X124" s="71">
        <f>((('Emissions Assumptions'!V9/907185)+('Emissions Assumptions'!V11/907185))*'Forest Glen'!X36)+(('Emissions Assumptions'!V10/907185)*'Forest Glen'!X37)</f>
        <v>-6.9848082254587149E-2</v>
      </c>
      <c r="Y124" s="71">
        <f>((('Emissions Assumptions'!W9/907185)+('Emissions Assumptions'!W11/907185))*'Forest Glen'!Y36)+(('Emissions Assumptions'!W10/907185)*'Forest Glen'!Y37)</f>
        <v>-6.9386780385183783E-2</v>
      </c>
      <c r="Z124" s="71">
        <f>((('Emissions Assumptions'!X9/907185)+('Emissions Assumptions'!X11/907185))*'Forest Glen'!Z36)+(('Emissions Assumptions'!X10/907185)*'Forest Glen'!Z37)</f>
        <v>-6.9868703009766178E-2</v>
      </c>
      <c r="AA124" s="71">
        <f>((('Emissions Assumptions'!Y9/907185)+('Emissions Assumptions'!Y11/907185))*'Forest Glen'!AA36)+(('Emissions Assumptions'!Y10/907185)*'Forest Glen'!AA37)</f>
        <v>-7.0355288021161727E-2</v>
      </c>
      <c r="AB124" s="71">
        <f>((('Emissions Assumptions'!Z9/907185)+('Emissions Assumptions'!Z11/907185))*'Forest Glen'!AB36)+(('Emissions Assumptions'!Z10/907185)*'Forest Glen'!AB37)</f>
        <v>-7.084658192717741E-2</v>
      </c>
      <c r="AC124" s="412">
        <f>((('Emissions Assumptions'!AA9/907185)+('Emissions Assumptions'!AA11/907185))*'Forest Glen'!AC36)+(('Emissions Assumptions'!AA10/907185)*'Forest Glen'!AC37)</f>
        <v>-7.1342631700612336E-2</v>
      </c>
      <c r="AD124" s="380">
        <f t="shared" si="29"/>
        <v>-1.4825425599257187</v>
      </c>
    </row>
    <row r="125" spans="1:30" s="53" customFormat="1" ht="12">
      <c r="A125" s="45"/>
      <c r="B125" s="45"/>
      <c r="C125" s="48" t="s">
        <v>98</v>
      </c>
      <c r="D125" s="228"/>
      <c r="E125" s="238"/>
      <c r="F125" s="71">
        <f>(('Emissions Assumptions'!D4/907185)*F22)+(('Emissions Assumptions'!D5/907185)*F23)</f>
        <v>0</v>
      </c>
      <c r="G125" s="71">
        <f>(('Emissions Assumptions'!E4/907185)*G22)+(('Emissions Assumptions'!E5/907185)*G23)</f>
        <v>-7.9682550453948967E-3</v>
      </c>
      <c r="H125" s="71">
        <f>(('Emissions Assumptions'!F4/907185)*H22)+(('Emissions Assumptions'!F5/907185)*H23)</f>
        <v>-3.0117521137047267E-2</v>
      </c>
      <c r="I125" s="71">
        <f>(('Emissions Assumptions'!G4/907185)*I22)+(('Emissions Assumptions'!G5/907185)*I23)</f>
        <v>-2.8313561027480658E-2</v>
      </c>
      <c r="J125" s="71">
        <f>(('Emissions Assumptions'!H4/907185)*J22)+(('Emissions Assumptions'!H5/907185)*J23)</f>
        <v>-2.6461139852879755E-2</v>
      </c>
      <c r="K125" s="71">
        <f>(('Emissions Assumptions'!I4/907185)*K22)+(('Emissions Assumptions'!I5/907185)*K23)</f>
        <v>-2.4560257613244551E-2</v>
      </c>
      <c r="L125" s="71">
        <f>(('Emissions Assumptions'!J4/907185)*L22)+(('Emissions Assumptions'!J5/907185)*L23)</f>
        <v>-2.2610914308575068E-2</v>
      </c>
      <c r="M125" s="71">
        <f>(('Emissions Assumptions'!K4/907185)*M22)+(('Emissions Assumptions'!K5/907185)*M23)</f>
        <v>-2.0613109938871273E-2</v>
      </c>
      <c r="N125" s="71">
        <f>(('Emissions Assumptions'!L4/907185)*N22)+(('Emissions Assumptions'!L5/907185)*N23)</f>
        <v>-1.8566844504133196E-2</v>
      </c>
      <c r="O125" s="71">
        <f>(('Emissions Assumptions'!M4/907185)*O22)+(('Emissions Assumptions'!M5/907185)*O23)</f>
        <v>-1.640623566436172E-2</v>
      </c>
      <c r="P125" s="71">
        <f>(('Emissions Assumptions'!N4/907185)*P22)+(('Emissions Assumptions'!N5/907185)*P23)</f>
        <v>-1.6212738509659427E-2</v>
      </c>
      <c r="Q125" s="71">
        <f>(('Emissions Assumptions'!O4/907185)*Q22)+(('Emissions Assumptions'!O5/907185)*Q23)</f>
        <v>-1.6015289000321491E-2</v>
      </c>
      <c r="R125" s="71">
        <f>(('Emissions Assumptions'!P4/907185)*R22)+(('Emissions Assumptions'!P5/907185)*R23)</f>
        <v>-1.5813887136347925E-2</v>
      </c>
      <c r="S125" s="71">
        <f>(('Emissions Assumptions'!Q4/907185)*S22)+(('Emissions Assumptions'!Q5/907185)*S23)</f>
        <v>-1.5608532917738708E-2</v>
      </c>
      <c r="T125" s="71">
        <f>(('Emissions Assumptions'!R4/907185)*T22)+(('Emissions Assumptions'!R5/907185)*T23)</f>
        <v>-1.5399226344493859E-2</v>
      </c>
      <c r="U125" s="71">
        <f>(('Emissions Assumptions'!S4/907185)*U22)+(('Emissions Assumptions'!S5/907185)*U23)</f>
        <v>-1.5185967416613374E-2</v>
      </c>
      <c r="V125" s="71">
        <f>(('Emissions Assumptions'!T4/907185)*V22)+(('Emissions Assumptions'!T5/907185)*V23)</f>
        <v>-1.4968756134097247E-2</v>
      </c>
      <c r="W125" s="71">
        <f>(('Emissions Assumptions'!U4/907185)*W22)+(('Emissions Assumptions'!U5/907185)*W23)</f>
        <v>-1.474759249694548E-2</v>
      </c>
      <c r="X125" s="71">
        <f>(('Emissions Assumptions'!V4/907185)*X22)+(('Emissions Assumptions'!V5/907185)*X23)</f>
        <v>-1.4522476505158081E-2</v>
      </c>
      <c r="Y125" s="71">
        <f>(('Emissions Assumptions'!W4/907185)*Y22)+(('Emissions Assumptions'!W5/907185)*Y23)</f>
        <v>-1.4293408158735033E-2</v>
      </c>
      <c r="Z125" s="71">
        <f>(('Emissions Assumptions'!X4/907185)*Z22)+(('Emissions Assumptions'!X5/907185)*Z23)</f>
        <v>-1.4381826334211607E-2</v>
      </c>
      <c r="AA125" s="71">
        <f>(('Emissions Assumptions'!Y4/907185)*AA22)+(('Emissions Assumptions'!Y5/907185)*AA23)</f>
        <v>-1.4470244509688174E-2</v>
      </c>
      <c r="AB125" s="71">
        <f>(('Emissions Assumptions'!Z4/907185)*AB22)+(('Emissions Assumptions'!Z5/907185)*AB23)</f>
        <v>-1.4558662685164746E-2</v>
      </c>
      <c r="AC125" s="412">
        <f>(('Emissions Assumptions'!AA4/907185)*AC22)+(('Emissions Assumptions'!AA5/907185)*AC23)</f>
        <v>-1.4647080860641318E-2</v>
      </c>
      <c r="AD125" s="380">
        <f t="shared" si="29"/>
        <v>-0.40644352810180484</v>
      </c>
    </row>
    <row r="126" spans="1:30" s="53" customFormat="1" ht="12">
      <c r="A126" s="45"/>
      <c r="B126" s="45"/>
      <c r="C126" s="48" t="s">
        <v>99</v>
      </c>
      <c r="D126" s="228"/>
      <c r="E126" s="238"/>
      <c r="F126" s="71">
        <f>(('Emissions Assumptions'!D14/907185)*F22)+(('Emissions Assumptions'!D18/907185)*F23)+(('Emissions Assumptions'!D19/907185)*F22)</f>
        <v>0</v>
      </c>
      <c r="G126" s="71">
        <f>(('Emissions Assumptions'!E14/907185)*G22)+(('Emissions Assumptions'!E18/907185)*G23)+(('Emissions Assumptions'!E19/907185)*G22)</f>
        <v>-1.1390951283392941E-2</v>
      </c>
      <c r="H126" s="71">
        <f>(('Emissions Assumptions'!F14/907185)*H22)+(('Emissions Assumptions'!F18/907185)*H23)+(('Emissions Assumptions'!F19/907185)*H22)</f>
        <v>-4.3005898112395247E-2</v>
      </c>
      <c r="I126" s="71">
        <f>(('Emissions Assumptions'!G14/907185)*I22)+(('Emissions Assumptions'!G18/907185)*I23)+(('Emissions Assumptions'!G19/907185)*I22)</f>
        <v>-4.0377610567073542E-2</v>
      </c>
      <c r="J126" s="71">
        <f>(('Emissions Assumptions'!H14/907185)*J22)+(('Emissions Assumptions'!H18/907185)*J23)+(('Emissions Assumptions'!H19/907185)*J22)</f>
        <v>-3.7678942497606643E-2</v>
      </c>
      <c r="K126" s="71">
        <f>(('Emissions Assumptions'!I14/907185)*K22)+(('Emissions Assumptions'!I18/907185)*K23)+(('Emissions Assumptions'!I19/907185)*K22)</f>
        <v>-3.4909893903994571E-2</v>
      </c>
      <c r="L126" s="71">
        <f>(('Emissions Assumptions'!J14/907185)*L22)+(('Emissions Assumptions'!J18/907185)*L23)+(('Emissions Assumptions'!J19/907185)*L22)</f>
        <v>-3.2070464786237332E-2</v>
      </c>
      <c r="M126" s="71">
        <f>(('Emissions Assumptions'!K14/907185)*M22)+(('Emissions Assumptions'!K18/907185)*M23)+(('Emissions Assumptions'!K19/907185)*M22)</f>
        <v>-2.9160655144334885E-2</v>
      </c>
      <c r="N126" s="71">
        <f>(('Emissions Assumptions'!L14/907185)*N22)+(('Emissions Assumptions'!L18/907185)*N23)+(('Emissions Assumptions'!L19/907185)*N22)</f>
        <v>-2.6180464978287261E-2</v>
      </c>
      <c r="O126" s="71">
        <f>(('Emissions Assumptions'!M14/907185)*O22)+(('Emissions Assumptions'!M18/907185)*O23)+(('Emissions Assumptions'!M19/907185)*O22)</f>
        <v>-2.3037383321427751E-2</v>
      </c>
      <c r="P126" s="71">
        <f>(('Emissions Assumptions'!N14/907185)*P22)+(('Emissions Assumptions'!N18/907185)*P23)+(('Emissions Assumptions'!N19/907185)*P22)</f>
        <v>-2.2567914482756111E-2</v>
      </c>
      <c r="Q126" s="71">
        <f>(('Emissions Assumptions'!O14/907185)*Q22)+(('Emissions Assumptions'!O18/907185)*Q23)+(('Emissions Assumptions'!O19/907185)*Q22)</f>
        <v>-2.2090304859680811E-2</v>
      </c>
      <c r="R126" s="71">
        <f>(('Emissions Assumptions'!P14/907185)*R22)+(('Emissions Assumptions'!P18/907185)*R23)+(('Emissions Assumptions'!P19/907185)*R22)</f>
        <v>-2.1604554452201864E-2</v>
      </c>
      <c r="S126" s="71">
        <f>(('Emissions Assumptions'!Q14/907185)*S22)+(('Emissions Assumptions'!Q18/907185)*S23)+(('Emissions Assumptions'!Q19/907185)*S22)</f>
        <v>-2.1110663260319244E-2</v>
      </c>
      <c r="T126" s="71">
        <f>(('Emissions Assumptions'!R14/907185)*T22)+(('Emissions Assumptions'!R18/907185)*T23)+(('Emissions Assumptions'!R19/907185)*T22)</f>
        <v>-2.0608631284032983E-2</v>
      </c>
      <c r="U126" s="71">
        <f>(('Emissions Assumptions'!S14/907185)*U22)+(('Emissions Assumptions'!S18/907185)*U23)+(('Emissions Assumptions'!S19/907185)*U22)</f>
        <v>-2.0098458523343063E-2</v>
      </c>
      <c r="V126" s="71">
        <f>(('Emissions Assumptions'!T14/907185)*V22)+(('Emissions Assumptions'!T18/907185)*V23)+(('Emissions Assumptions'!T19/907185)*V22)</f>
        <v>-1.9580144978249479E-2</v>
      </c>
      <c r="W126" s="71">
        <f>(('Emissions Assumptions'!U14/907185)*W22)+(('Emissions Assumptions'!U18/907185)*W23)+(('Emissions Assumptions'!U19/907185)*W22)</f>
        <v>-1.9053690648752244E-2</v>
      </c>
      <c r="X126" s="71">
        <f>(('Emissions Assumptions'!V14/907185)*X22)+(('Emissions Assumptions'!V18/907185)*X23)+(('Emissions Assumptions'!V19/907185)*X22)</f>
        <v>-1.8519095534851357E-2</v>
      </c>
      <c r="Y126" s="71">
        <f>(('Emissions Assumptions'!W14/907185)*Y22)+(('Emissions Assumptions'!W18/907185)*Y23)+(('Emissions Assumptions'!W19/907185)*Y22)</f>
        <v>-1.7976359636546802E-2</v>
      </c>
      <c r="Z126" s="71">
        <f>(('Emissions Assumptions'!X14/907185)*Z22)+(('Emissions Assumptions'!X18/907185)*Z23)+(('Emissions Assumptions'!X19/907185)*Z22)</f>
        <v>-1.808756033151911E-2</v>
      </c>
      <c r="AA126" s="71">
        <f>(('Emissions Assumptions'!Y14/907185)*AA22)+(('Emissions Assumptions'!Y18/907185)*AA23)+(('Emissions Assumptions'!Y19/907185)*AA22)</f>
        <v>-1.8198761026491411E-2</v>
      </c>
      <c r="AB126" s="71">
        <f>(('Emissions Assumptions'!Z14/907185)*AB22)+(('Emissions Assumptions'!Z18/907185)*AB23)+(('Emissions Assumptions'!Z19/907185)*AB22)</f>
        <v>-1.8309961721463715E-2</v>
      </c>
      <c r="AC126" s="412">
        <f>(('Emissions Assumptions'!AA14/907185)*AC22)+(('Emissions Assumptions'!AA18/907185)*AC23)+(('Emissions Assumptions'!AA19/907185)*AC22)</f>
        <v>-1.8421162416436022E-2</v>
      </c>
      <c r="AD126" s="380">
        <f t="shared" si="29"/>
        <v>-0.55403952775139442</v>
      </c>
    </row>
    <row r="127" spans="1:30" s="53" customFormat="1" ht="12">
      <c r="A127" s="45"/>
      <c r="B127" s="45"/>
      <c r="C127" s="48" t="s">
        <v>100</v>
      </c>
      <c r="D127" s="228"/>
      <c r="E127" s="238"/>
      <c r="F127" s="71">
        <f>('Emissions Assumptions'!D21/907185)*F23</f>
        <v>0</v>
      </c>
      <c r="G127" s="71">
        <f>('Emissions Assumptions'!E21/907185)*G23</f>
        <v>-8.4546096451392607</v>
      </c>
      <c r="H127" s="71">
        <f>('Emissions Assumptions'!F21/907185)*H23</f>
        <v>-33.410661901643508</v>
      </c>
      <c r="I127" s="71">
        <f>('Emissions Assumptions'!G21/907185)*I23</f>
        <v>-32.984669831185094</v>
      </c>
      <c r="J127" s="71">
        <f>('Emissions Assumptions'!H21/907185)*J23</f>
        <v>-32.540462369181803</v>
      </c>
      <c r="K127" s="71">
        <f>('Emissions Assumptions'!I21/907185)*K23</f>
        <v>-32.078039515633634</v>
      </c>
      <c r="L127" s="71">
        <f>('Emissions Assumptions'!J21/907185)*L23</f>
        <v>-31.597401270540612</v>
      </c>
      <c r="M127" s="71">
        <f>('Emissions Assumptions'!K21/907185)*M23</f>
        <v>-31.098547633902694</v>
      </c>
      <c r="N127" s="71">
        <f>('Emissions Assumptions'!L21/907185)*N23</f>
        <v>-30.581478605719909</v>
      </c>
      <c r="O127" s="71">
        <f>('Emissions Assumptions'!M21/907185)*O23</f>
        <v>-29.926020594440974</v>
      </c>
      <c r="P127" s="71">
        <f>('Emissions Assumptions'!N21/907185)*P23</f>
        <v>-29.739317394251309</v>
      </c>
      <c r="Q127" s="71">
        <f>('Emissions Assumptions'!O21/907185)*Q23</f>
        <v>-29.547582907190684</v>
      </c>
      <c r="R127" s="71">
        <f>('Emissions Assumptions'!P21/907185)*R23</f>
        <v>-29.350817133259106</v>
      </c>
      <c r="S127" s="71">
        <f>('Emissions Assumptions'!Q21/907185)*S23</f>
        <v>-29.149020072456548</v>
      </c>
      <c r="T127" s="71">
        <f>('Emissions Assumptions'!R21/907185)*T23</f>
        <v>-28.942191724783044</v>
      </c>
      <c r="U127" s="71">
        <f>('Emissions Assumptions'!S21/907185)*U23</f>
        <v>-28.730332090238573</v>
      </c>
      <c r="V127" s="71">
        <f>('Emissions Assumptions'!T21/907185)*V23</f>
        <v>-28.513441168823139</v>
      </c>
      <c r="W127" s="71">
        <f>('Emissions Assumptions'!U21/907185)*W23</f>
        <v>-28.291518960536745</v>
      </c>
      <c r="X127" s="71">
        <f>('Emissions Assumptions'!V21/907185)*X23</f>
        <v>-28.064565465379392</v>
      </c>
      <c r="Y127" s="71">
        <f>('Emissions Assumptions'!W21/907185)*Y23</f>
        <v>-27.832580683351068</v>
      </c>
      <c r="Z127" s="71">
        <f>('Emissions Assumptions'!X21/907185)*Z23</f>
        <v>-28.004751377386871</v>
      </c>
      <c r="AA127" s="71">
        <f>('Emissions Assumptions'!Y21/907185)*AA23</f>
        <v>-28.176922071422663</v>
      </c>
      <c r="AB127" s="71">
        <f>('Emissions Assumptions'!Z21/907185)*AB23</f>
        <v>-28.349092765458465</v>
      </c>
      <c r="AC127" s="412">
        <f>('Emissions Assumptions'!AA21/907185)*AC23</f>
        <v>-28.521263459494264</v>
      </c>
      <c r="AD127" s="380">
        <f t="shared" si="29"/>
        <v>-663.88528864141927</v>
      </c>
    </row>
    <row r="128" spans="1:30" s="53" customFormat="1" ht="12">
      <c r="A128" s="45"/>
      <c r="B128" s="45"/>
      <c r="C128" s="70" t="s">
        <v>115</v>
      </c>
      <c r="D128" s="228"/>
      <c r="E128" s="236"/>
      <c r="F128" s="45"/>
      <c r="G128" s="45"/>
      <c r="H128" s="45"/>
      <c r="I128" s="45"/>
      <c r="J128" s="45"/>
      <c r="K128" s="45"/>
      <c r="L128" s="45"/>
      <c r="M128" s="45"/>
      <c r="N128" s="45"/>
      <c r="O128" s="45"/>
      <c r="P128" s="45"/>
      <c r="Q128" s="45"/>
      <c r="R128" s="45"/>
      <c r="S128" s="45"/>
      <c r="T128" s="45"/>
      <c r="U128" s="45"/>
      <c r="V128" s="45"/>
      <c r="W128" s="45"/>
      <c r="X128" s="45"/>
      <c r="Y128" s="45"/>
      <c r="Z128" s="45"/>
      <c r="AA128" s="45"/>
      <c r="AB128" s="45"/>
      <c r="AC128" s="283"/>
      <c r="AD128" s="361">
        <f t="shared" si="29"/>
        <v>0</v>
      </c>
    </row>
    <row r="129" spans="1:30" s="53" customFormat="1" ht="12">
      <c r="A129" s="45"/>
      <c r="B129" s="45"/>
      <c r="C129" s="48" t="s">
        <v>43</v>
      </c>
      <c r="D129" s="228"/>
      <c r="E129" s="239"/>
      <c r="F129" s="56">
        <f>-(F124*'Emissions Assumptions'!D12)</f>
        <v>0</v>
      </c>
      <c r="G129" s="56">
        <f>-(G124*'Emissions Assumptions'!E12)</f>
        <v>0</v>
      </c>
      <c r="H129" s="56">
        <f>-(H124*'Emissions Assumptions'!F12)</f>
        <v>0</v>
      </c>
      <c r="I129" s="56">
        <f>-(I124*'Emissions Assumptions'!G12)</f>
        <v>0</v>
      </c>
      <c r="J129" s="56">
        <f>-(J124*'Emissions Assumptions'!H12)</f>
        <v>120.63636447772932</v>
      </c>
      <c r="K129" s="56">
        <f>-(K124*'Emissions Assumptions'!I12)</f>
        <v>155.8161799163606</v>
      </c>
      <c r="L129" s="56">
        <f>-(L124*'Emissions Assumptions'!J12)</f>
        <v>149.00602028072669</v>
      </c>
      <c r="M129" s="56">
        <f>-(M124*'Emissions Assumptions'!K12)</f>
        <v>141.90386795539379</v>
      </c>
      <c r="N129" s="56">
        <f>-(N124*'Emissions Assumptions'!L12)</f>
        <v>134.49691503135719</v>
      </c>
      <c r="O129" s="56">
        <f>-(O124*'Emissions Assumptions'!M12)</f>
        <v>125.1783020621687</v>
      </c>
      <c r="P129" s="56">
        <f>-(P124*'Emissions Assumptions'!N12)</f>
        <v>124.51558928351501</v>
      </c>
      <c r="Q129" s="56">
        <f>-(Q124*'Emissions Assumptions'!O12)</f>
        <v>123.84028473251816</v>
      </c>
      <c r="R129" s="56">
        <f>-(R124*'Emissions Assumptions'!P12)</f>
        <v>123.15216892791274</v>
      </c>
      <c r="S129" s="56">
        <f>-(S124*'Emissions Assumptions'!Q12)</f>
        <v>122.45101920057063</v>
      </c>
      <c r="T129" s="56">
        <f>-(T124*'Emissions Assumptions'!R12)</f>
        <v>121.73660965162512</v>
      </c>
      <c r="U129" s="56">
        <f>-(U124*'Emissions Assumptions'!S12)</f>
        <v>121.00871111007675</v>
      </c>
      <c r="V129" s="56">
        <f>-(V124*'Emissions Assumptions'!T12)</f>
        <v>120.26709108987404</v>
      </c>
      <c r="W129" s="56">
        <f>-(W124*'Emissions Assumptions'!U12)</f>
        <v>119.51151374646275</v>
      </c>
      <c r="X129" s="56">
        <f>-(X124*'Emissions Assumptions'!V12)</f>
        <v>118.74173983279815</v>
      </c>
      <c r="Y129" s="56">
        <f>-(Y124*'Emissions Assumptions'!W12)</f>
        <v>117.95752665481243</v>
      </c>
      <c r="Z129" s="56">
        <f>-(Z124*'Emissions Assumptions'!X12)</f>
        <v>118.7767951166025</v>
      </c>
      <c r="AA129" s="56">
        <f>-(AA124*'Emissions Assumptions'!Y12)</f>
        <v>119.60398963597494</v>
      </c>
      <c r="AB129" s="56">
        <f>-(AB124*'Emissions Assumptions'!Z12)</f>
        <v>120.4391892762016</v>
      </c>
      <c r="AC129" s="413">
        <f>-(AC124*'Emissions Assumptions'!AA12)</f>
        <v>121.28247389104096</v>
      </c>
      <c r="AD129" s="381">
        <f t="shared" si="29"/>
        <v>2520.3223518737213</v>
      </c>
    </row>
    <row r="130" spans="1:30" ht="13.5">
      <c r="A130" s="45"/>
      <c r="B130" s="45"/>
      <c r="C130" s="48" t="s">
        <v>119</v>
      </c>
      <c r="D130" s="228"/>
      <c r="E130" s="239"/>
      <c r="F130" s="56">
        <f>-(F125*'Emissions Assumptions'!D6)</f>
        <v>0</v>
      </c>
      <c r="G130" s="56">
        <f>-(G125*'Emissions Assumptions'!E6)</f>
        <v>31.873020181579587</v>
      </c>
      <c r="H130" s="56">
        <f>-(H125*'Emissions Assumptions'!F6)</f>
        <v>120.47008454818906</v>
      </c>
      <c r="I130" s="56">
        <f>-(I125*'Emissions Assumptions'!G6)</f>
        <v>113.25424410992262</v>
      </c>
      <c r="J130" s="56">
        <f>-(J125*'Emissions Assumptions'!H6)</f>
        <v>105.84455941151901</v>
      </c>
      <c r="K130" s="56">
        <f>-(K125*'Emissions Assumptions'!I6)</f>
        <v>98.241030452978208</v>
      </c>
      <c r="L130" s="56">
        <f>-(L125*'Emissions Assumptions'!J6)</f>
        <v>90.443657234300275</v>
      </c>
      <c r="M130" s="56">
        <f>-(M125*'Emissions Assumptions'!K6)</f>
        <v>82.452439755485088</v>
      </c>
      <c r="N130" s="56">
        <f>-(N125*'Emissions Assumptions'!L6)</f>
        <v>74.267378016532788</v>
      </c>
      <c r="O130" s="56">
        <f>-(O125*'Emissions Assumptions'!M6)</f>
        <v>65.62494265744688</v>
      </c>
      <c r="P130" s="56">
        <f>-(P125*'Emissions Assumptions'!N6)</f>
        <v>64.85095403863771</v>
      </c>
      <c r="Q130" s="56">
        <f>-(Q125*'Emissions Assumptions'!O6)</f>
        <v>64.061156001285966</v>
      </c>
      <c r="R130" s="56">
        <f>-(R125*'Emissions Assumptions'!P6)</f>
        <v>63.255548545391697</v>
      </c>
      <c r="S130" s="56">
        <f>-(S125*'Emissions Assumptions'!Q6)</f>
        <v>62.434131670954834</v>
      </c>
      <c r="T130" s="56">
        <f>-(T125*'Emissions Assumptions'!R6)</f>
        <v>61.596905377975439</v>
      </c>
      <c r="U130" s="56">
        <f>-(U125*'Emissions Assumptions'!S6)</f>
        <v>60.743869666453499</v>
      </c>
      <c r="V130" s="56">
        <f>-(V125*'Emissions Assumptions'!T6)</f>
        <v>59.875024536388985</v>
      </c>
      <c r="W130" s="56">
        <f>-(W125*'Emissions Assumptions'!U6)</f>
        <v>58.990369987781918</v>
      </c>
      <c r="X130" s="56">
        <f>-(X125*'Emissions Assumptions'!V6)</f>
        <v>58.089906020632327</v>
      </c>
      <c r="Y130" s="56">
        <f>-(Y125*'Emissions Assumptions'!W6)</f>
        <v>57.173632634940134</v>
      </c>
      <c r="Z130" s="56">
        <f>-(Z125*'Emissions Assumptions'!X6)</f>
        <v>57.527305336846425</v>
      </c>
      <c r="AA130" s="56">
        <f>-(AA125*'Emissions Assumptions'!Y6)</f>
        <v>57.880978038752694</v>
      </c>
      <c r="AB130" s="56">
        <f>-(AB125*'Emissions Assumptions'!Z6)</f>
        <v>58.234650740658985</v>
      </c>
      <c r="AC130" s="413">
        <f>-(AC125*'Emissions Assumptions'!AA6)</f>
        <v>58.588323442565276</v>
      </c>
      <c r="AD130" s="381">
        <f t="shared" si="29"/>
        <v>1625.7741124072195</v>
      </c>
    </row>
    <row r="131" spans="1:30" ht="13.5">
      <c r="A131" s="45"/>
      <c r="B131" s="45"/>
      <c r="C131" s="48" t="s">
        <v>117</v>
      </c>
      <c r="D131" s="228"/>
      <c r="E131" s="239"/>
      <c r="F131" s="56">
        <f>-(F126*'Emissions Assumptions'!D15)</f>
        <v>0</v>
      </c>
      <c r="G131" s="56">
        <f>-(G126*'Emissions Assumptions'!E15)</f>
        <v>1913.679815610014</v>
      </c>
      <c r="H131" s="56">
        <f>-(H126*'Emissions Assumptions'!F15)</f>
        <v>7224.9908828824018</v>
      </c>
      <c r="I131" s="56">
        <f>-(I126*'Emissions Assumptions'!G15)</f>
        <v>6783.4385752683547</v>
      </c>
      <c r="J131" s="56">
        <f>-(J126*'Emissions Assumptions'!H15)</f>
        <v>6330.0623395979164</v>
      </c>
      <c r="K131" s="56">
        <f>-(K126*'Emissions Assumptions'!I15)</f>
        <v>5864.8621758710879</v>
      </c>
      <c r="L131" s="56">
        <f>-(L126*'Emissions Assumptions'!J15)</f>
        <v>5387.8380840878717</v>
      </c>
      <c r="M131" s="56">
        <f>-(M126*'Emissions Assumptions'!K15)</f>
        <v>4898.9900642482608</v>
      </c>
      <c r="N131" s="56">
        <f>-(N126*'Emissions Assumptions'!L15)</f>
        <v>4398.3181163522595</v>
      </c>
      <c r="O131" s="56">
        <f>-(O126*'Emissions Assumptions'!M15)</f>
        <v>3870.2803979998621</v>
      </c>
      <c r="P131" s="56">
        <f>-(P126*'Emissions Assumptions'!N15)</f>
        <v>3791.4096331030264</v>
      </c>
      <c r="Q131" s="56">
        <f>-(Q126*'Emissions Assumptions'!O15)</f>
        <v>3711.1712164263763</v>
      </c>
      <c r="R131" s="56">
        <f>-(R126*'Emissions Assumptions'!P15)</f>
        <v>3629.5651479699131</v>
      </c>
      <c r="S131" s="56">
        <f>-(S126*'Emissions Assumptions'!Q15)</f>
        <v>3546.5914277336328</v>
      </c>
      <c r="T131" s="56">
        <f>-(T126*'Emissions Assumptions'!R15)</f>
        <v>3462.2500557175413</v>
      </c>
      <c r="U131" s="56">
        <f>-(U126*'Emissions Assumptions'!S15)</f>
        <v>3376.5410319216344</v>
      </c>
      <c r="V131" s="56">
        <f>-(V126*'Emissions Assumptions'!T15)</f>
        <v>3289.4643563459126</v>
      </c>
      <c r="W131" s="56">
        <f>-(W126*'Emissions Assumptions'!U15)</f>
        <v>3201.0200289903769</v>
      </c>
      <c r="X131" s="56">
        <f>-(X126*'Emissions Assumptions'!V15)</f>
        <v>3111.2080498550281</v>
      </c>
      <c r="Y131" s="56">
        <f>-(Y126*'Emissions Assumptions'!W15)</f>
        <v>3020.0284189398626</v>
      </c>
      <c r="Z131" s="56">
        <f>-(Z126*'Emissions Assumptions'!X15)</f>
        <v>3038.7101356952103</v>
      </c>
      <c r="AA131" s="56">
        <f>-(AA126*'Emissions Assumptions'!Y15)</f>
        <v>3057.3918524505571</v>
      </c>
      <c r="AB131" s="56">
        <f>-(AB126*'Emissions Assumptions'!Z15)</f>
        <v>3076.0735692059043</v>
      </c>
      <c r="AC131" s="413">
        <f>-(AC126*'Emissions Assumptions'!AA15)</f>
        <v>3094.755285961252</v>
      </c>
      <c r="AD131" s="381">
        <f t="shared" si="29"/>
        <v>93078.640662234262</v>
      </c>
    </row>
    <row r="132" spans="1:30" s="53" customFormat="1" ht="13.5">
      <c r="A132" s="45"/>
      <c r="B132" s="45"/>
      <c r="C132" s="48" t="s">
        <v>118</v>
      </c>
      <c r="D132" s="228"/>
      <c r="E132" s="239"/>
      <c r="F132" s="56">
        <f>-(F127*'Emissions Assumptions'!D22)</f>
        <v>0</v>
      </c>
      <c r="G132" s="56">
        <f>-(G127*'Emissions Assumptions'!E22)</f>
        <v>180.92864640598017</v>
      </c>
      <c r="H132" s="56">
        <f>-(H127*'Emissions Assumptions'!F22)</f>
        <v>714.98816469517101</v>
      </c>
      <c r="I132" s="56">
        <f>-(I127*'Emissions Assumptions'!G22)</f>
        <v>705.87193438736097</v>
      </c>
      <c r="J132" s="56">
        <f>-(J127*'Emissions Assumptions'!H22)</f>
        <v>696.36589470049057</v>
      </c>
      <c r="K132" s="56">
        <f>-(K127*'Emissions Assumptions'!I22)</f>
        <v>686.47004563455971</v>
      </c>
      <c r="L132" s="56">
        <f>-(L127*'Emissions Assumptions'!J22)</f>
        <v>676.18438718956907</v>
      </c>
      <c r="M132" s="56">
        <f>-(M127*'Emissions Assumptions'!K22)</f>
        <v>665.50891936551761</v>
      </c>
      <c r="N132" s="56">
        <f>-(N127*'Emissions Assumptions'!L22)</f>
        <v>654.44364216240604</v>
      </c>
      <c r="O132" s="56">
        <f>-(O127*'Emissions Assumptions'!M22)</f>
        <v>640.41684072103681</v>
      </c>
      <c r="P132" s="56">
        <f>-(P127*'Emissions Assumptions'!N22)</f>
        <v>636.42139223697791</v>
      </c>
      <c r="Q132" s="56">
        <f>-(Q127*'Emissions Assumptions'!O22)</f>
        <v>632.31827421388061</v>
      </c>
      <c r="R132" s="56">
        <f>-(R127*'Emissions Assumptions'!P22)</f>
        <v>628.10748665174481</v>
      </c>
      <c r="S132" s="56">
        <f>-(S127*'Emissions Assumptions'!Q22)</f>
        <v>623.78902955057004</v>
      </c>
      <c r="T132" s="56">
        <f>-(T127*'Emissions Assumptions'!R22)</f>
        <v>619.36290291035709</v>
      </c>
      <c r="U132" s="56">
        <f>-(U127*'Emissions Assumptions'!S22)</f>
        <v>614.82910673110541</v>
      </c>
      <c r="V132" s="56">
        <f>-(V127*'Emissions Assumptions'!T22)</f>
        <v>610.18764101281511</v>
      </c>
      <c r="W132" s="56">
        <f>-(W127*'Emissions Assumptions'!U22)</f>
        <v>605.43850575548629</v>
      </c>
      <c r="X132" s="56">
        <f>-(X127*'Emissions Assumptions'!V22)</f>
        <v>600.58170095911896</v>
      </c>
      <c r="Y132" s="56">
        <f>-(Y127*'Emissions Assumptions'!W22)</f>
        <v>595.61722662371278</v>
      </c>
      <c r="Z132" s="56">
        <f>-(Z127*'Emissions Assumptions'!X22)</f>
        <v>599.30167947607902</v>
      </c>
      <c r="AA132" s="56">
        <f>-(AA127*'Emissions Assumptions'!Y22)</f>
        <v>602.98613232844491</v>
      </c>
      <c r="AB132" s="56">
        <f>-(AB127*'Emissions Assumptions'!Z22)</f>
        <v>606.67058518081114</v>
      </c>
      <c r="AC132" s="413">
        <f>-(AC127*'Emissions Assumptions'!AA22)</f>
        <v>610.35503803317727</v>
      </c>
      <c r="AD132" s="381">
        <f t="shared" si="29"/>
        <v>14207.145176926375</v>
      </c>
    </row>
    <row r="133" spans="1:30" s="5" customFormat="1" ht="12">
      <c r="A133" s="58"/>
      <c r="B133" s="58"/>
      <c r="C133" s="62" t="s">
        <v>613</v>
      </c>
      <c r="D133" s="231"/>
      <c r="E133" s="239"/>
      <c r="F133" s="83">
        <f>SUM(F129:F132)</f>
        <v>0</v>
      </c>
      <c r="G133" s="83">
        <f t="shared" ref="G133:AC133" si="35">SUM(G129:G132)</f>
        <v>2126.4814821975738</v>
      </c>
      <c r="H133" s="83">
        <f t="shared" si="35"/>
        <v>8060.4491321257619</v>
      </c>
      <c r="I133" s="83">
        <f t="shared" si="35"/>
        <v>7602.5647537656378</v>
      </c>
      <c r="J133" s="83">
        <f t="shared" si="35"/>
        <v>7252.9091581876555</v>
      </c>
      <c r="K133" s="83">
        <f t="shared" si="35"/>
        <v>6805.3894318749863</v>
      </c>
      <c r="L133" s="83">
        <f t="shared" si="35"/>
        <v>6303.472148792468</v>
      </c>
      <c r="M133" s="83">
        <f t="shared" si="35"/>
        <v>5788.8552913246576</v>
      </c>
      <c r="N133" s="83">
        <f t="shared" si="35"/>
        <v>5261.526051562555</v>
      </c>
      <c r="O133" s="83">
        <f t="shared" si="35"/>
        <v>4701.5004834405145</v>
      </c>
      <c r="P133" s="83">
        <f t="shared" si="35"/>
        <v>4617.1975686621572</v>
      </c>
      <c r="Q133" s="83">
        <f t="shared" si="35"/>
        <v>4531.3909313740605</v>
      </c>
      <c r="R133" s="83">
        <f t="shared" si="35"/>
        <v>4444.0803520949621</v>
      </c>
      <c r="S133" s="83">
        <f t="shared" si="35"/>
        <v>4355.2656081557288</v>
      </c>
      <c r="T133" s="83">
        <f t="shared" si="35"/>
        <v>4264.9464736574992</v>
      </c>
      <c r="U133" s="83">
        <f t="shared" si="35"/>
        <v>4173.1227194292696</v>
      </c>
      <c r="V133" s="83">
        <f t="shared" si="35"/>
        <v>4079.794112984991</v>
      </c>
      <c r="W133" s="83">
        <f t="shared" si="35"/>
        <v>3984.9604184801078</v>
      </c>
      <c r="X133" s="83">
        <f t="shared" si="35"/>
        <v>3888.6213966675778</v>
      </c>
      <c r="Y133" s="83">
        <f t="shared" si="35"/>
        <v>3790.776804853328</v>
      </c>
      <c r="Z133" s="83">
        <f t="shared" si="35"/>
        <v>3814.3159156247384</v>
      </c>
      <c r="AA133" s="83">
        <f t="shared" si="35"/>
        <v>3837.8629524537296</v>
      </c>
      <c r="AB133" s="83">
        <f t="shared" si="35"/>
        <v>3861.4179944035759</v>
      </c>
      <c r="AC133" s="292">
        <f t="shared" si="35"/>
        <v>3884.9811213280354</v>
      </c>
      <c r="AD133" s="378">
        <f t="shared" si="29"/>
        <v>111431.88230344158</v>
      </c>
    </row>
    <row r="134" spans="1:30" s="53" customFormat="1" ht="12">
      <c r="A134" s="45"/>
      <c r="B134" s="45"/>
      <c r="D134" s="228"/>
      <c r="E134" s="236"/>
      <c r="F134" s="45"/>
      <c r="G134" s="57"/>
      <c r="AC134" s="283"/>
      <c r="AD134" s="361">
        <f t="shared" si="29"/>
        <v>0</v>
      </c>
    </row>
    <row r="135" spans="1:30" s="53" customFormat="1" ht="12">
      <c r="A135" s="45"/>
      <c r="B135" s="45"/>
      <c r="C135" s="64" t="s">
        <v>91</v>
      </c>
      <c r="D135" s="228"/>
      <c r="E135" s="236"/>
      <c r="F135" s="45"/>
      <c r="G135" s="57"/>
      <c r="AC135" s="283"/>
      <c r="AD135" s="361">
        <f t="shared" si="29"/>
        <v>0</v>
      </c>
    </row>
    <row r="136" spans="1:30" s="53" customFormat="1" ht="24">
      <c r="A136" s="45"/>
      <c r="B136" s="45"/>
      <c r="C136" s="222" t="s">
        <v>132</v>
      </c>
      <c r="D136" s="279">
        <f>'Price Assumptions'!$B$22</f>
        <v>0.2</v>
      </c>
      <c r="E136" s="236"/>
      <c r="G136" s="97"/>
      <c r="H136" s="97"/>
      <c r="I136" s="97"/>
      <c r="J136" s="97"/>
      <c r="K136" s="97"/>
      <c r="L136" s="97"/>
      <c r="M136" s="97"/>
      <c r="N136" s="97"/>
      <c r="O136" s="97"/>
      <c r="P136" s="97"/>
      <c r="Q136" s="97"/>
      <c r="R136" s="97"/>
      <c r="S136" s="97"/>
      <c r="T136" s="97"/>
      <c r="U136" s="97"/>
      <c r="V136" s="97"/>
      <c r="W136" s="97"/>
      <c r="X136" s="97"/>
      <c r="Y136" s="97"/>
      <c r="AC136" s="283"/>
      <c r="AD136" s="361">
        <f t="shared" si="29"/>
        <v>0</v>
      </c>
    </row>
    <row r="137" spans="1:30" s="53" customFormat="1" ht="24">
      <c r="A137" s="45"/>
      <c r="B137" s="45"/>
      <c r="C137" s="303" t="s">
        <v>520</v>
      </c>
      <c r="D137" s="304">
        <f>'Price Assumptions'!$B$21</f>
        <v>5.4413625171743009E-2</v>
      </c>
      <c r="E137" s="236"/>
      <c r="G137" s="96"/>
      <c r="H137" s="96"/>
      <c r="I137" s="96"/>
      <c r="J137" s="96"/>
      <c r="K137" s="96"/>
      <c r="L137" s="96"/>
      <c r="M137" s="96"/>
      <c r="N137" s="96"/>
      <c r="O137" s="96"/>
      <c r="P137" s="96"/>
      <c r="Q137" s="96"/>
      <c r="R137" s="96"/>
      <c r="S137" s="96"/>
      <c r="T137" s="96"/>
      <c r="U137" s="96"/>
      <c r="V137" s="96"/>
      <c r="W137" s="96"/>
      <c r="X137" s="96"/>
      <c r="Y137" s="96"/>
      <c r="AC137" s="283"/>
      <c r="AD137" s="361">
        <f t="shared" si="29"/>
        <v>0</v>
      </c>
    </row>
    <row r="138" spans="1:30" s="5" customFormat="1" ht="12">
      <c r="A138" s="58"/>
      <c r="B138" s="58"/>
      <c r="C138" s="87" t="s">
        <v>521</v>
      </c>
      <c r="D138" s="231"/>
      <c r="E138" s="239"/>
      <c r="F138" s="83">
        <f>$D$137*$D$136*(F16+F17)</f>
        <v>0</v>
      </c>
      <c r="G138" s="83">
        <f t="shared" ref="G138:AC138" si="36">$D$137*$D$136*(G16+G17)</f>
        <v>16.461064378949857</v>
      </c>
      <c r="H138" s="83">
        <f t="shared" si="36"/>
        <v>66.604290088876596</v>
      </c>
      <c r="I138" s="83">
        <f t="shared" si="36"/>
        <v>67.36432266195375</v>
      </c>
      <c r="J138" s="83">
        <f t="shared" si="36"/>
        <v>68.124355235030919</v>
      </c>
      <c r="K138" s="83">
        <f t="shared" si="36"/>
        <v>68.884387808108087</v>
      </c>
      <c r="L138" s="83">
        <f t="shared" si="36"/>
        <v>69.644420381185256</v>
      </c>
      <c r="M138" s="83">
        <f t="shared" si="36"/>
        <v>70.404452954262396</v>
      </c>
      <c r="N138" s="83">
        <f t="shared" si="36"/>
        <v>71.164485527339565</v>
      </c>
      <c r="O138" s="83">
        <f t="shared" si="36"/>
        <v>71.636846803106408</v>
      </c>
      <c r="P138" s="83">
        <f t="shared" si="36"/>
        <v>72.109208078873237</v>
      </c>
      <c r="Q138" s="83">
        <f t="shared" si="36"/>
        <v>72.581569354640081</v>
      </c>
      <c r="R138" s="83">
        <f t="shared" si="36"/>
        <v>73.053930630406924</v>
      </c>
      <c r="S138" s="83">
        <f t="shared" si="36"/>
        <v>73.526291906173739</v>
      </c>
      <c r="T138" s="83">
        <f t="shared" si="36"/>
        <v>73.998653181940597</v>
      </c>
      <c r="U138" s="83">
        <f t="shared" si="36"/>
        <v>74.471014457707412</v>
      </c>
      <c r="V138" s="83">
        <f t="shared" si="36"/>
        <v>74.943375733474269</v>
      </c>
      <c r="W138" s="83">
        <f t="shared" si="36"/>
        <v>75.415737009241099</v>
      </c>
      <c r="X138" s="83">
        <f t="shared" si="36"/>
        <v>75.888098285007928</v>
      </c>
      <c r="Y138" s="83">
        <f t="shared" si="36"/>
        <v>76.360459560774771</v>
      </c>
      <c r="Z138" s="83">
        <f t="shared" si="36"/>
        <v>76.832820836541615</v>
      </c>
      <c r="AA138" s="83">
        <f t="shared" si="36"/>
        <v>77.30518211230843</v>
      </c>
      <c r="AB138" s="83">
        <f t="shared" si="36"/>
        <v>77.777543388075287</v>
      </c>
      <c r="AC138" s="292">
        <f t="shared" si="36"/>
        <v>78.249904663842116</v>
      </c>
      <c r="AD138" s="378">
        <f t="shared" si="29"/>
        <v>1622.8024150378208</v>
      </c>
    </row>
    <row r="139" spans="1:30" s="112" customFormat="1" ht="12">
      <c r="A139" s="109"/>
      <c r="B139" s="109"/>
      <c r="C139" s="110"/>
      <c r="D139" s="227"/>
      <c r="E139" s="235"/>
      <c r="F139" s="111"/>
      <c r="G139" s="111"/>
      <c r="H139" s="111"/>
      <c r="I139" s="111"/>
      <c r="J139" s="111"/>
      <c r="K139" s="111"/>
      <c r="L139" s="111"/>
      <c r="M139" s="111"/>
      <c r="N139" s="111"/>
      <c r="O139" s="111"/>
      <c r="P139" s="111"/>
      <c r="Q139" s="111"/>
      <c r="R139" s="111"/>
      <c r="S139" s="111"/>
      <c r="T139" s="111"/>
      <c r="U139" s="111"/>
      <c r="V139" s="111"/>
      <c r="W139" s="111"/>
      <c r="X139" s="111"/>
      <c r="Y139" s="111"/>
      <c r="Z139" s="111"/>
      <c r="AC139" s="282"/>
      <c r="AD139" s="360">
        <f t="shared" si="29"/>
        <v>0</v>
      </c>
    </row>
    <row r="140" spans="1:30" s="112" customFormat="1" ht="12">
      <c r="A140" s="58" t="s">
        <v>361</v>
      </c>
      <c r="B140" s="58"/>
      <c r="C140" s="110"/>
      <c r="D140" s="227"/>
      <c r="E140" s="235"/>
      <c r="F140" s="111"/>
      <c r="G140" s="111"/>
      <c r="H140" s="111"/>
      <c r="I140" s="111"/>
      <c r="J140" s="111"/>
      <c r="K140" s="111"/>
      <c r="L140" s="111"/>
      <c r="M140" s="111"/>
      <c r="N140" s="111"/>
      <c r="O140" s="111"/>
      <c r="P140" s="111"/>
      <c r="Q140" s="111"/>
      <c r="R140" s="111"/>
      <c r="S140" s="111"/>
      <c r="T140" s="111"/>
      <c r="U140" s="111"/>
      <c r="V140" s="111"/>
      <c r="W140" s="111"/>
      <c r="X140" s="111"/>
      <c r="Y140" s="111"/>
      <c r="Z140" s="111"/>
      <c r="AC140" s="282"/>
      <c r="AD140" s="360">
        <f t="shared" si="29"/>
        <v>0</v>
      </c>
    </row>
    <row r="141" spans="1:30" s="112" customFormat="1" ht="12">
      <c r="A141" s="58"/>
      <c r="B141" s="58"/>
      <c r="C141" s="46" t="s">
        <v>39</v>
      </c>
      <c r="D141" s="229"/>
      <c r="E141" s="236"/>
      <c r="F141" s="45"/>
      <c r="G141" s="111"/>
      <c r="H141" s="111"/>
      <c r="I141" s="111"/>
      <c r="J141" s="111"/>
      <c r="K141" s="111"/>
      <c r="L141" s="111"/>
      <c r="M141" s="111"/>
      <c r="N141" s="111"/>
      <c r="O141" s="111"/>
      <c r="P141" s="111"/>
      <c r="Q141" s="111"/>
      <c r="R141" s="111"/>
      <c r="S141" s="111"/>
      <c r="T141" s="111"/>
      <c r="U141" s="111"/>
      <c r="V141" s="111"/>
      <c r="W141" s="111"/>
      <c r="X141" s="111"/>
      <c r="Y141" s="111"/>
      <c r="Z141" s="111"/>
      <c r="AC141" s="282"/>
      <c r="AD141" s="360">
        <f t="shared" si="29"/>
        <v>0</v>
      </c>
    </row>
    <row r="142" spans="1:30" s="112" customFormat="1" ht="12">
      <c r="A142" s="58"/>
      <c r="B142" s="58" t="s">
        <v>228</v>
      </c>
      <c r="D142" s="229"/>
      <c r="E142" s="236"/>
      <c r="F142" s="45"/>
      <c r="G142" s="111"/>
      <c r="H142" s="111"/>
      <c r="I142" s="111"/>
      <c r="J142" s="111"/>
      <c r="K142" s="111"/>
      <c r="L142" s="111"/>
      <c r="M142" s="111"/>
      <c r="N142" s="111"/>
      <c r="O142" s="111"/>
      <c r="P142" s="111"/>
      <c r="Q142" s="111"/>
      <c r="R142" s="111"/>
      <c r="S142" s="111"/>
      <c r="T142" s="111"/>
      <c r="U142" s="111"/>
      <c r="V142" s="111"/>
      <c r="W142" s="111"/>
      <c r="X142" s="111"/>
      <c r="Y142" s="111"/>
      <c r="Z142" s="111"/>
      <c r="AC142" s="282"/>
      <c r="AD142" s="360">
        <f t="shared" si="29"/>
        <v>0</v>
      </c>
    </row>
    <row r="143" spans="1:30" s="112" customFormat="1" ht="12">
      <c r="A143" s="58"/>
      <c r="B143" s="468" t="s">
        <v>609</v>
      </c>
      <c r="C143" s="78" t="s">
        <v>580</v>
      </c>
      <c r="D143" s="229"/>
      <c r="E143" s="236"/>
      <c r="F143" s="45"/>
      <c r="G143" s="111"/>
      <c r="H143" s="111"/>
      <c r="I143" s="55"/>
      <c r="J143" s="55"/>
      <c r="K143" s="55"/>
      <c r="L143" s="55"/>
      <c r="M143" s="55"/>
      <c r="N143" s="55"/>
      <c r="O143" s="55"/>
      <c r="P143" s="55"/>
      <c r="Q143" s="55"/>
      <c r="R143" s="55"/>
      <c r="S143" s="55"/>
      <c r="T143" s="55"/>
      <c r="U143" s="55"/>
      <c r="V143" s="55"/>
      <c r="W143" s="55"/>
      <c r="X143" s="55"/>
      <c r="Y143" s="55"/>
      <c r="Z143" s="55"/>
      <c r="AA143" s="55"/>
      <c r="AB143" s="55"/>
      <c r="AC143" s="290"/>
      <c r="AD143" s="376">
        <f t="shared" si="29"/>
        <v>0</v>
      </c>
    </row>
    <row r="144" spans="1:30" s="112" customFormat="1" ht="12">
      <c r="A144" s="58"/>
      <c r="C144" s="78" t="s">
        <v>559</v>
      </c>
      <c r="D144" s="229">
        <f>'Mode Operating Assumptions'!D191</f>
        <v>8.2555465307736857E-8</v>
      </c>
      <c r="E144" s="236"/>
      <c r="F144" s="55">
        <f t="shared" ref="F144:AC144" si="37">$D$144*(F$11+F$12)</f>
        <v>0</v>
      </c>
      <c r="G144" s="55">
        <f t="shared" si="37"/>
        <v>2.0638283832547056E-4</v>
      </c>
      <c r="H144" s="55">
        <f t="shared" si="37"/>
        <v>8.3506036528072287E-4</v>
      </c>
      <c r="I144" s="55">
        <f t="shared" si="37"/>
        <v>8.4458937725956319E-4</v>
      </c>
      <c r="J144" s="55">
        <f t="shared" si="37"/>
        <v>8.5411838923840351E-4</v>
      </c>
      <c r="K144" s="55">
        <f t="shared" si="37"/>
        <v>8.6364740121724383E-4</v>
      </c>
      <c r="L144" s="55">
        <f t="shared" si="37"/>
        <v>8.7317641319608426E-4</v>
      </c>
      <c r="M144" s="55">
        <f t="shared" si="37"/>
        <v>8.8270542517492469E-4</v>
      </c>
      <c r="N144" s="55">
        <f t="shared" si="37"/>
        <v>8.922344371537649E-4</v>
      </c>
      <c r="O144" s="55">
        <f t="shared" si="37"/>
        <v>8.9815673103243207E-4</v>
      </c>
      <c r="P144" s="55">
        <f t="shared" si="37"/>
        <v>9.0407902491109924E-4</v>
      </c>
      <c r="Q144" s="55">
        <f t="shared" si="37"/>
        <v>9.100013187897662E-4</v>
      </c>
      <c r="R144" s="55">
        <f t="shared" si="37"/>
        <v>9.1592361266843358E-4</v>
      </c>
      <c r="S144" s="55">
        <f t="shared" si="37"/>
        <v>9.2184590654710032E-4</v>
      </c>
      <c r="T144" s="55">
        <f t="shared" si="37"/>
        <v>9.2776820042576749E-4</v>
      </c>
      <c r="U144" s="55">
        <f t="shared" si="37"/>
        <v>9.3369049430443488E-4</v>
      </c>
      <c r="V144" s="55">
        <f t="shared" si="37"/>
        <v>9.3961278818310194E-4</v>
      </c>
      <c r="W144" s="55">
        <f t="shared" si="37"/>
        <v>9.4553508206176901E-4</v>
      </c>
      <c r="X144" s="55">
        <f t="shared" si="37"/>
        <v>9.5145737594043618E-4</v>
      </c>
      <c r="Y144" s="55">
        <f t="shared" si="37"/>
        <v>9.5737966981910313E-4</v>
      </c>
      <c r="Z144" s="55">
        <f t="shared" si="37"/>
        <v>9.633019636977702E-4</v>
      </c>
      <c r="AA144" s="55">
        <f t="shared" si="37"/>
        <v>9.6922425757643726E-4</v>
      </c>
      <c r="AB144" s="55">
        <f t="shared" si="37"/>
        <v>9.7514655145510454E-4</v>
      </c>
      <c r="AC144" s="290">
        <f t="shared" si="37"/>
        <v>9.810688453337716E-4</v>
      </c>
      <c r="AD144" s="376">
        <f t="shared" si="29"/>
        <v>2.0346106469592708E-2</v>
      </c>
    </row>
    <row r="145" spans="1:30" s="112" customFormat="1" ht="12">
      <c r="A145" s="58"/>
      <c r="C145" s="49" t="s">
        <v>40</v>
      </c>
      <c r="D145" s="328">
        <f>-'Mode Operating Assumptions'!C181</f>
        <v>-6200000</v>
      </c>
      <c r="E145" s="236"/>
      <c r="F145" s="275">
        <f>F144*$D$146</f>
        <v>0</v>
      </c>
      <c r="G145" s="275">
        <f t="shared" ref="G145:AC145" si="38">G144*$D$146</f>
        <v>5.1934832760214596E-10</v>
      </c>
      <c r="H145" s="275">
        <f t="shared" si="38"/>
        <v>2.1013724187252706E-9</v>
      </c>
      <c r="I145" s="275">
        <f t="shared" si="38"/>
        <v>2.1253515270419561E-9</v>
      </c>
      <c r="J145" s="275">
        <f t="shared" si="38"/>
        <v>2.149330635358642E-9</v>
      </c>
      <c r="K145" s="275">
        <f t="shared" si="38"/>
        <v>2.173309743675328E-9</v>
      </c>
      <c r="L145" s="275">
        <f t="shared" si="38"/>
        <v>2.1972888519920143E-9</v>
      </c>
      <c r="M145" s="275">
        <f t="shared" si="38"/>
        <v>2.2212679603087006E-9</v>
      </c>
      <c r="N145" s="275">
        <f t="shared" si="38"/>
        <v>2.2452470686253861E-9</v>
      </c>
      <c r="O145" s="275">
        <f t="shared" si="38"/>
        <v>2.2601501169912765E-9</v>
      </c>
      <c r="P145" s="275">
        <f t="shared" si="38"/>
        <v>2.2750531653571669E-9</v>
      </c>
      <c r="Q145" s="275">
        <f t="shared" si="38"/>
        <v>2.2899562137230569E-9</v>
      </c>
      <c r="R145" s="275">
        <f t="shared" si="38"/>
        <v>2.3048592620889477E-9</v>
      </c>
      <c r="S145" s="275">
        <f t="shared" si="38"/>
        <v>2.3197623104548369E-9</v>
      </c>
      <c r="T145" s="275">
        <f t="shared" si="38"/>
        <v>2.3346653588207272E-9</v>
      </c>
      <c r="U145" s="275">
        <f t="shared" si="38"/>
        <v>2.349568407186618E-9</v>
      </c>
      <c r="V145" s="275">
        <f t="shared" si="38"/>
        <v>2.3644714555525084E-9</v>
      </c>
      <c r="W145" s="275">
        <f t="shared" si="38"/>
        <v>2.3793745039183984E-9</v>
      </c>
      <c r="X145" s="275">
        <f t="shared" si="38"/>
        <v>2.3942775522842888E-9</v>
      </c>
      <c r="Y145" s="275">
        <f t="shared" si="38"/>
        <v>2.4091806006501788E-9</v>
      </c>
      <c r="Z145" s="275">
        <f t="shared" si="38"/>
        <v>2.4240836490160688E-9</v>
      </c>
      <c r="AA145" s="275">
        <f t="shared" si="38"/>
        <v>2.4389866973819587E-9</v>
      </c>
      <c r="AB145" s="275">
        <f t="shared" si="38"/>
        <v>2.4538897457478495E-9</v>
      </c>
      <c r="AC145" s="288">
        <f t="shared" si="38"/>
        <v>2.4687927941137395E-9</v>
      </c>
      <c r="AD145" s="383">
        <f t="shared" si="29"/>
        <v>5.1199588366617065E-8</v>
      </c>
    </row>
    <row r="146" spans="1:30" s="112" customFormat="1" ht="12">
      <c r="A146" s="58"/>
      <c r="C146" s="78" t="s">
        <v>560</v>
      </c>
      <c r="D146" s="229">
        <f>'Mode Operating Assumptions'!D192</f>
        <v>2.5164317528336415E-6</v>
      </c>
      <c r="E146" s="236"/>
      <c r="F146" s="55">
        <f t="shared" ref="F146:AC146" si="39">$D$146*(F$11+F$12)</f>
        <v>0</v>
      </c>
      <c r="G146" s="55">
        <f t="shared" si="39"/>
        <v>6.290901827834215E-3</v>
      </c>
      <c r="H146" s="55">
        <f t="shared" si="39"/>
        <v>2.5454067891109516E-2</v>
      </c>
      <c r="I146" s="55">
        <f t="shared" si="39"/>
        <v>2.5744528470882166E-2</v>
      </c>
      <c r="J146" s="55">
        <f t="shared" si="39"/>
        <v>2.6034989050654812E-2</v>
      </c>
      <c r="K146" s="55">
        <f t="shared" si="39"/>
        <v>2.6325449630427458E-2</v>
      </c>
      <c r="L146" s="55">
        <f t="shared" si="39"/>
        <v>2.661591021020011E-2</v>
      </c>
      <c r="M146" s="55">
        <f t="shared" si="39"/>
        <v>2.690637078997276E-2</v>
      </c>
      <c r="N146" s="55">
        <f t="shared" si="39"/>
        <v>2.7196831369745402E-2</v>
      </c>
      <c r="O146" s="55">
        <f t="shared" si="39"/>
        <v>2.7377353014318991E-2</v>
      </c>
      <c r="P146" s="55">
        <f t="shared" si="39"/>
        <v>2.7557874658892579E-2</v>
      </c>
      <c r="Q146" s="55">
        <f t="shared" si="39"/>
        <v>2.773839630346616E-2</v>
      </c>
      <c r="R146" s="55">
        <f t="shared" si="39"/>
        <v>2.7918917948039752E-2</v>
      </c>
      <c r="S146" s="55">
        <f t="shared" si="39"/>
        <v>2.8099439592613327E-2</v>
      </c>
      <c r="T146" s="55">
        <f t="shared" si="39"/>
        <v>2.8279961237186915E-2</v>
      </c>
      <c r="U146" s="55">
        <f t="shared" si="39"/>
        <v>2.8460482881760507E-2</v>
      </c>
      <c r="V146" s="55">
        <f t="shared" si="39"/>
        <v>2.8641004526334092E-2</v>
      </c>
      <c r="W146" s="55">
        <f t="shared" si="39"/>
        <v>2.8821526170907674E-2</v>
      </c>
      <c r="X146" s="55">
        <f t="shared" si="39"/>
        <v>2.9002047815481262E-2</v>
      </c>
      <c r="Y146" s="55">
        <f t="shared" si="39"/>
        <v>2.9182569460054843E-2</v>
      </c>
      <c r="Z146" s="55">
        <f t="shared" si="39"/>
        <v>2.9363091104628425E-2</v>
      </c>
      <c r="AA146" s="55">
        <f t="shared" si="39"/>
        <v>2.954361274920201E-2</v>
      </c>
      <c r="AB146" s="55">
        <f t="shared" si="39"/>
        <v>2.9724134393775602E-2</v>
      </c>
      <c r="AC146" s="290">
        <f t="shared" si="39"/>
        <v>2.9904656038349187E-2</v>
      </c>
      <c r="AD146" s="376">
        <f t="shared" si="29"/>
        <v>0.62018411713583776</v>
      </c>
    </row>
    <row r="147" spans="1:30" s="112" customFormat="1" ht="12">
      <c r="A147" s="58"/>
      <c r="C147" s="49" t="s">
        <v>41</v>
      </c>
      <c r="D147" s="328">
        <f>-'Mode Operating Assumptions'!C177</f>
        <v>-291400</v>
      </c>
      <c r="E147" s="236"/>
      <c r="F147" s="275">
        <f>F146*$D$147</f>
        <v>0</v>
      </c>
      <c r="G147" s="275">
        <f t="shared" ref="G147:AC147" si="40">G146*$D$147</f>
        <v>-1833.1687926308903</v>
      </c>
      <c r="H147" s="275">
        <f t="shared" si="40"/>
        <v>-7417.315383469313</v>
      </c>
      <c r="I147" s="275">
        <f t="shared" si="40"/>
        <v>-7501.9555964150632</v>
      </c>
      <c r="J147" s="275">
        <f t="shared" si="40"/>
        <v>-7586.5958093608124</v>
      </c>
      <c r="K147" s="275">
        <f t="shared" si="40"/>
        <v>-7671.2360223065607</v>
      </c>
      <c r="L147" s="275">
        <f t="shared" si="40"/>
        <v>-7755.8762352523117</v>
      </c>
      <c r="M147" s="275">
        <f t="shared" si="40"/>
        <v>-7840.5164481980619</v>
      </c>
      <c r="N147" s="275">
        <f t="shared" si="40"/>
        <v>-7925.1566611438102</v>
      </c>
      <c r="O147" s="275">
        <f t="shared" si="40"/>
        <v>-7977.7606683725535</v>
      </c>
      <c r="P147" s="275">
        <f t="shared" si="40"/>
        <v>-8030.3646756012977</v>
      </c>
      <c r="Q147" s="275">
        <f t="shared" si="40"/>
        <v>-8082.9686828300391</v>
      </c>
      <c r="R147" s="275">
        <f t="shared" si="40"/>
        <v>-8135.5726900587842</v>
      </c>
      <c r="S147" s="275">
        <f t="shared" si="40"/>
        <v>-8188.176697287523</v>
      </c>
      <c r="T147" s="275">
        <f t="shared" si="40"/>
        <v>-8240.7807045162663</v>
      </c>
      <c r="U147" s="275">
        <f t="shared" si="40"/>
        <v>-8293.3847117450114</v>
      </c>
      <c r="V147" s="275">
        <f t="shared" si="40"/>
        <v>-8345.9887189737547</v>
      </c>
      <c r="W147" s="275">
        <f t="shared" si="40"/>
        <v>-8398.5927262024961</v>
      </c>
      <c r="X147" s="275">
        <f t="shared" si="40"/>
        <v>-8451.1967334312394</v>
      </c>
      <c r="Y147" s="275">
        <f t="shared" si="40"/>
        <v>-8503.8007406599809</v>
      </c>
      <c r="Z147" s="275">
        <f t="shared" si="40"/>
        <v>-8556.4047478887223</v>
      </c>
      <c r="AA147" s="275">
        <f t="shared" si="40"/>
        <v>-8609.0087551174656</v>
      </c>
      <c r="AB147" s="275">
        <f t="shared" si="40"/>
        <v>-8661.6127623462107</v>
      </c>
      <c r="AC147" s="288">
        <f t="shared" si="40"/>
        <v>-8714.2167695749522</v>
      </c>
      <c r="AD147" s="383">
        <f t="shared" si="29"/>
        <v>-180721.65173338319</v>
      </c>
    </row>
    <row r="148" spans="1:30" s="112" customFormat="1" ht="12">
      <c r="A148" s="58"/>
      <c r="C148" s="49"/>
      <c r="D148" s="328"/>
      <c r="E148" s="236"/>
      <c r="F148" s="275"/>
      <c r="G148" s="275"/>
      <c r="H148" s="275"/>
      <c r="I148" s="275"/>
      <c r="J148" s="275"/>
      <c r="K148" s="275"/>
      <c r="L148" s="275"/>
      <c r="M148" s="275"/>
      <c r="N148" s="275"/>
      <c r="O148" s="275"/>
      <c r="P148" s="275"/>
      <c r="Q148" s="275"/>
      <c r="R148" s="275"/>
      <c r="S148" s="275"/>
      <c r="T148" s="275"/>
      <c r="U148" s="275"/>
      <c r="V148" s="275"/>
      <c r="W148" s="275"/>
      <c r="X148" s="275"/>
      <c r="Y148" s="275"/>
      <c r="Z148" s="275"/>
      <c r="AA148" s="275"/>
      <c r="AB148" s="275"/>
      <c r="AC148" s="288"/>
      <c r="AD148" s="383"/>
    </row>
    <row r="149" spans="1:30" s="112" customFormat="1" ht="12">
      <c r="A149" s="58"/>
      <c r="B149" s="469" t="s">
        <v>610</v>
      </c>
      <c r="C149" s="78" t="s">
        <v>608</v>
      </c>
      <c r="D149" s="467">
        <v>-0.15</v>
      </c>
      <c r="E149" s="236"/>
      <c r="F149" s="45"/>
      <c r="G149" s="45"/>
      <c r="H149" s="45"/>
      <c r="I149" s="45"/>
      <c r="J149" s="45"/>
      <c r="K149" s="45"/>
      <c r="L149" s="45"/>
      <c r="M149" s="45"/>
      <c r="N149" s="45"/>
      <c r="O149" s="45"/>
      <c r="P149" s="45"/>
      <c r="Q149" s="45"/>
      <c r="R149" s="45"/>
      <c r="S149" s="45"/>
      <c r="T149" s="45"/>
      <c r="U149" s="45"/>
      <c r="V149" s="45"/>
      <c r="W149" s="45"/>
      <c r="X149" s="45"/>
      <c r="Y149" s="45"/>
      <c r="Z149" s="45"/>
      <c r="AA149" s="45"/>
      <c r="AB149" s="45"/>
      <c r="AC149" s="283"/>
      <c r="AD149" s="360">
        <f>SUM(F149:AC149)</f>
        <v>0</v>
      </c>
    </row>
    <row r="150" spans="1:30" s="112" customFormat="1" ht="12">
      <c r="A150" s="58"/>
      <c r="B150" s="58"/>
      <c r="C150" s="78" t="s">
        <v>559</v>
      </c>
      <c r="D150" s="229">
        <f>D144*D$149</f>
        <v>-1.2383319796160529E-8</v>
      </c>
      <c r="E150" s="236"/>
      <c r="F150" s="472">
        <f>$D150*(F$10+F$11+F$12)</f>
        <v>0</v>
      </c>
      <c r="G150" s="472">
        <f t="shared" ref="G150:AC150" si="41">$D150*(G$10+G$11+G$12)</f>
        <v>-1.0628716173761736E-3</v>
      </c>
      <c r="H150" s="470">
        <f>$D150*(H$10+H$11+H$12)</f>
        <v>-4.3005608811957224E-3</v>
      </c>
      <c r="I150" s="471">
        <f t="shared" si="41"/>
        <v>-4.3496352928867506E-3</v>
      </c>
      <c r="J150" s="471">
        <f t="shared" si="41"/>
        <v>-4.3987097045777778E-3</v>
      </c>
      <c r="K150" s="471">
        <f t="shared" si="41"/>
        <v>-4.4477841162688051E-3</v>
      </c>
      <c r="L150" s="471">
        <f t="shared" si="41"/>
        <v>-4.4968585279598341E-3</v>
      </c>
      <c r="M150" s="471">
        <f t="shared" si="41"/>
        <v>-4.5459329396508614E-3</v>
      </c>
      <c r="N150" s="471">
        <f t="shared" si="41"/>
        <v>-4.5950073513418887E-3</v>
      </c>
      <c r="O150" s="471">
        <f t="shared" si="41"/>
        <v>-4.6255071648170255E-3</v>
      </c>
      <c r="P150" s="471">
        <f t="shared" si="41"/>
        <v>-4.6560069782921615E-3</v>
      </c>
      <c r="Q150" s="471">
        <f t="shared" si="41"/>
        <v>-4.6865067917672967E-3</v>
      </c>
      <c r="R150" s="471">
        <f t="shared" si="41"/>
        <v>-4.7170066052424336E-3</v>
      </c>
      <c r="S150" s="471">
        <f t="shared" si="41"/>
        <v>-4.747506418717567E-3</v>
      </c>
      <c r="T150" s="471">
        <f t="shared" si="41"/>
        <v>-4.778006232192703E-3</v>
      </c>
      <c r="U150" s="471">
        <f t="shared" si="41"/>
        <v>-4.808506045667839E-3</v>
      </c>
      <c r="V150" s="471">
        <f t="shared" si="41"/>
        <v>-4.839005859142975E-3</v>
      </c>
      <c r="W150" s="471">
        <f t="shared" si="41"/>
        <v>-4.8695056726181102E-3</v>
      </c>
      <c r="X150" s="471">
        <f t="shared" si="41"/>
        <v>-4.9000054860932471E-3</v>
      </c>
      <c r="Y150" s="471">
        <f t="shared" si="41"/>
        <v>-4.9305052995683805E-3</v>
      </c>
      <c r="Z150" s="471">
        <f t="shared" si="41"/>
        <v>-4.9610051130435165E-3</v>
      </c>
      <c r="AA150" s="471">
        <f t="shared" si="41"/>
        <v>-4.9915049265186516E-3</v>
      </c>
      <c r="AB150" s="471">
        <f t="shared" si="41"/>
        <v>-5.0220047399937885E-3</v>
      </c>
      <c r="AC150" s="471">
        <f t="shared" si="41"/>
        <v>-5.0525045534689245E-3</v>
      </c>
      <c r="AD150" s="361">
        <f>SUM(F150:AC150)</f>
        <v>-0.10478244831840242</v>
      </c>
    </row>
    <row r="151" spans="1:30" s="112" customFormat="1" ht="12">
      <c r="A151" s="58"/>
      <c r="B151" s="58"/>
      <c r="C151" s="49" t="s">
        <v>40</v>
      </c>
      <c r="D151" s="328">
        <f>D145</f>
        <v>-6200000</v>
      </c>
      <c r="E151" s="236"/>
      <c r="F151" s="337">
        <f>F150*$D151</f>
        <v>0</v>
      </c>
      <c r="G151" s="337">
        <f t="shared" ref="G151:AC151" si="42">G150*$D151</f>
        <v>6589.8040277322762</v>
      </c>
      <c r="H151" s="337">
        <f t="shared" si="42"/>
        <v>26663.477463413477</v>
      </c>
      <c r="I151" s="337">
        <f t="shared" si="42"/>
        <v>26967.738815897854</v>
      </c>
      <c r="J151" s="337">
        <f t="shared" si="42"/>
        <v>27272.000168382223</v>
      </c>
      <c r="K151" s="337">
        <f t="shared" si="42"/>
        <v>27576.261520866592</v>
      </c>
      <c r="L151" s="337">
        <f t="shared" si="42"/>
        <v>27880.522873350972</v>
      </c>
      <c r="M151" s="337">
        <f t="shared" si="42"/>
        <v>28184.784225835341</v>
      </c>
      <c r="N151" s="337">
        <f t="shared" si="42"/>
        <v>28489.04557831971</v>
      </c>
      <c r="O151" s="337">
        <f t="shared" si="42"/>
        <v>28678.14442186556</v>
      </c>
      <c r="P151" s="337">
        <f t="shared" si="42"/>
        <v>28867.243265411402</v>
      </c>
      <c r="Q151" s="337">
        <f t="shared" si="42"/>
        <v>29056.34210895724</v>
      </c>
      <c r="R151" s="337">
        <f t="shared" si="42"/>
        <v>29245.44095250309</v>
      </c>
      <c r="S151" s="337">
        <f t="shared" si="42"/>
        <v>29434.539796048914</v>
      </c>
      <c r="T151" s="337">
        <f t="shared" si="42"/>
        <v>29623.638639594759</v>
      </c>
      <c r="U151" s="337">
        <f t="shared" si="42"/>
        <v>29812.737483140601</v>
      </c>
      <c r="V151" s="337">
        <f t="shared" si="42"/>
        <v>30001.836326686443</v>
      </c>
      <c r="W151" s="337">
        <f t="shared" si="42"/>
        <v>30190.935170232282</v>
      </c>
      <c r="X151" s="337">
        <f t="shared" si="42"/>
        <v>30380.034013778131</v>
      </c>
      <c r="Y151" s="337">
        <f t="shared" si="42"/>
        <v>30569.132857323959</v>
      </c>
      <c r="Z151" s="337">
        <f t="shared" si="42"/>
        <v>30758.231700869801</v>
      </c>
      <c r="AA151" s="337">
        <f t="shared" si="42"/>
        <v>30947.330544415639</v>
      </c>
      <c r="AB151" s="337">
        <f t="shared" si="42"/>
        <v>31136.429387961489</v>
      </c>
      <c r="AC151" s="337">
        <f t="shared" si="42"/>
        <v>31325.528231507331</v>
      </c>
      <c r="AD151" s="382">
        <f>SUM(F151:AC151)</f>
        <v>649651.17957409506</v>
      </c>
    </row>
    <row r="152" spans="1:30" s="112" customFormat="1" ht="12">
      <c r="A152" s="58"/>
      <c r="B152" s="58"/>
      <c r="C152" s="78" t="s">
        <v>560</v>
      </c>
      <c r="D152" s="229">
        <f>D146*D$149</f>
        <v>-3.7746476292504623E-7</v>
      </c>
      <c r="E152" s="236"/>
      <c r="F152" s="55">
        <f>$D152*(F$10+F$11+F$12)</f>
        <v>0</v>
      </c>
      <c r="G152" s="55">
        <f t="shared" ref="G152:AC152" si="43">$D152*(G$10+G$11+G$12)</f>
        <v>-3.2398144413346215E-2</v>
      </c>
      <c r="H152" s="55">
        <f t="shared" si="43"/>
        <v>-0.13108844963921401</v>
      </c>
      <c r="I152" s="55">
        <f t="shared" si="43"/>
        <v>-0.13258432162504316</v>
      </c>
      <c r="J152" s="55">
        <f t="shared" si="43"/>
        <v>-0.13408019361087228</v>
      </c>
      <c r="K152" s="55">
        <f t="shared" si="43"/>
        <v>-0.13557606559670141</v>
      </c>
      <c r="L152" s="55">
        <f t="shared" si="43"/>
        <v>-0.13707193758253056</v>
      </c>
      <c r="M152" s="55">
        <f t="shared" si="43"/>
        <v>-0.13856780956835971</v>
      </c>
      <c r="N152" s="55">
        <f t="shared" si="43"/>
        <v>-0.14006368155418883</v>
      </c>
      <c r="O152" s="55">
        <f t="shared" si="43"/>
        <v>-0.14099336802374279</v>
      </c>
      <c r="P152" s="55">
        <f t="shared" si="43"/>
        <v>-0.14192305449329679</v>
      </c>
      <c r="Q152" s="55">
        <f t="shared" si="43"/>
        <v>-0.14285274096285072</v>
      </c>
      <c r="R152" s="55">
        <f t="shared" si="43"/>
        <v>-0.14378242743240474</v>
      </c>
      <c r="S152" s="55">
        <f t="shared" si="43"/>
        <v>-0.14471211390195862</v>
      </c>
      <c r="T152" s="55">
        <f t="shared" si="43"/>
        <v>-0.14564180037151261</v>
      </c>
      <c r="U152" s="55">
        <f t="shared" si="43"/>
        <v>-0.14657148684106661</v>
      </c>
      <c r="V152" s="55">
        <f t="shared" si="43"/>
        <v>-0.14750117331062057</v>
      </c>
      <c r="W152" s="55">
        <f t="shared" si="43"/>
        <v>-0.14843085978017453</v>
      </c>
      <c r="X152" s="55">
        <f t="shared" si="43"/>
        <v>-0.1493605462497285</v>
      </c>
      <c r="Y152" s="55">
        <f t="shared" si="43"/>
        <v>-0.15029023271928243</v>
      </c>
      <c r="Z152" s="55">
        <f t="shared" si="43"/>
        <v>-0.1512199191888364</v>
      </c>
      <c r="AA152" s="55">
        <f t="shared" si="43"/>
        <v>-0.15214960565839036</v>
      </c>
      <c r="AB152" s="55">
        <f t="shared" si="43"/>
        <v>-0.15307929212794433</v>
      </c>
      <c r="AC152" s="55">
        <f t="shared" si="43"/>
        <v>-0.15400897859749832</v>
      </c>
      <c r="AD152" s="361">
        <f>SUM(F152:AC152)</f>
        <v>-3.1939482032495641</v>
      </c>
    </row>
    <row r="153" spans="1:30" s="112" customFormat="1" ht="12">
      <c r="A153" s="58"/>
      <c r="B153" s="58"/>
      <c r="C153" s="49" t="s">
        <v>41</v>
      </c>
      <c r="D153" s="328">
        <f>D147</f>
        <v>-291400</v>
      </c>
      <c r="E153" s="236"/>
      <c r="F153" s="337">
        <f>F152*$D153</f>
        <v>0</v>
      </c>
      <c r="G153" s="337">
        <f t="shared" ref="G153:AC153" si="44">G152*$D153</f>
        <v>9440.8192820490876</v>
      </c>
      <c r="H153" s="337">
        <f t="shared" si="44"/>
        <v>38199.174224866962</v>
      </c>
      <c r="I153" s="337">
        <f t="shared" si="44"/>
        <v>38635.07132153758</v>
      </c>
      <c r="J153" s="337">
        <f t="shared" si="44"/>
        <v>39070.968418208184</v>
      </c>
      <c r="K153" s="337">
        <f t="shared" si="44"/>
        <v>39506.865514878788</v>
      </c>
      <c r="L153" s="337">
        <f t="shared" si="44"/>
        <v>39942.762611549406</v>
      </c>
      <c r="M153" s="337">
        <f t="shared" si="44"/>
        <v>40378.659708220017</v>
      </c>
      <c r="N153" s="337">
        <f t="shared" si="44"/>
        <v>40814.556804890628</v>
      </c>
      <c r="O153" s="337">
        <f t="shared" si="44"/>
        <v>41085.46744211865</v>
      </c>
      <c r="P153" s="337">
        <f t="shared" si="44"/>
        <v>41356.378079346687</v>
      </c>
      <c r="Q153" s="337">
        <f t="shared" si="44"/>
        <v>41627.288716574702</v>
      </c>
      <c r="R153" s="337">
        <f t="shared" si="44"/>
        <v>41898.199353802738</v>
      </c>
      <c r="S153" s="337">
        <f t="shared" si="44"/>
        <v>42169.109991030746</v>
      </c>
      <c r="T153" s="337">
        <f t="shared" si="44"/>
        <v>42440.020628258775</v>
      </c>
      <c r="U153" s="337">
        <f t="shared" si="44"/>
        <v>42710.931265486812</v>
      </c>
      <c r="V153" s="337">
        <f t="shared" si="44"/>
        <v>42981.841902714834</v>
      </c>
      <c r="W153" s="337">
        <f t="shared" si="44"/>
        <v>43252.752539942856</v>
      </c>
      <c r="X153" s="337">
        <f t="shared" si="44"/>
        <v>43523.663177170885</v>
      </c>
      <c r="Y153" s="337">
        <f t="shared" si="44"/>
        <v>43794.5738143989</v>
      </c>
      <c r="Z153" s="337">
        <f t="shared" si="44"/>
        <v>44065.48445162693</v>
      </c>
      <c r="AA153" s="337">
        <f t="shared" si="44"/>
        <v>44336.395088854952</v>
      </c>
      <c r="AB153" s="337">
        <f t="shared" si="44"/>
        <v>44607.305726082974</v>
      </c>
      <c r="AC153" s="337">
        <f t="shared" si="44"/>
        <v>44878.21636331101</v>
      </c>
      <c r="AD153" s="382">
        <f>SUM(F153:AC153)</f>
        <v>930716.50642692321</v>
      </c>
    </row>
    <row r="154" spans="1:30" s="112" customFormat="1" ht="12">
      <c r="A154" s="58"/>
      <c r="D154" s="229"/>
      <c r="E154" s="236"/>
      <c r="AC154" s="282"/>
      <c r="AD154" s="360">
        <f t="shared" si="29"/>
        <v>0</v>
      </c>
    </row>
    <row r="155" spans="1:30" s="112" customFormat="1" ht="12">
      <c r="A155" s="58"/>
      <c r="B155" s="58" t="s">
        <v>225</v>
      </c>
      <c r="D155" s="229"/>
      <c r="E155" s="236"/>
      <c r="AC155" s="282"/>
      <c r="AD155" s="360"/>
    </row>
    <row r="156" spans="1:30" s="112" customFormat="1" ht="12">
      <c r="A156" s="58"/>
      <c r="B156" s="468" t="s">
        <v>609</v>
      </c>
      <c r="C156" s="78" t="s">
        <v>535</v>
      </c>
      <c r="D156" s="229"/>
      <c r="E156" s="236"/>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290"/>
      <c r="AD156" s="376">
        <f t="shared" si="29"/>
        <v>0</v>
      </c>
    </row>
    <row r="157" spans="1:30" s="112" customFormat="1" ht="12">
      <c r="A157" s="58"/>
      <c r="C157" s="78" t="s">
        <v>559</v>
      </c>
      <c r="D157" s="229">
        <f>'Mode Operating Assumptions'!$D$197</f>
        <v>1.8722590666405648E-7</v>
      </c>
      <c r="E157" s="236"/>
      <c r="F157" s="55">
        <f t="shared" ref="F157:AC157" si="45">$D$157*(F$16+F$17)</f>
        <v>0</v>
      </c>
      <c r="G157" s="55">
        <f t="shared" si="45"/>
        <v>2.831954031069355E-4</v>
      </c>
      <c r="H157" s="55">
        <f t="shared" si="45"/>
        <v>1.1458571782570228E-3</v>
      </c>
      <c r="I157" s="55">
        <f t="shared" si="45"/>
        <v>1.1589327440863033E-3</v>
      </c>
      <c r="J157" s="55">
        <f t="shared" si="45"/>
        <v>1.1720083099155843E-3</v>
      </c>
      <c r="K157" s="55">
        <f t="shared" si="45"/>
        <v>1.1850838757448653E-3</v>
      </c>
      <c r="L157" s="55">
        <f t="shared" si="45"/>
        <v>1.1981594415741462E-3</v>
      </c>
      <c r="M157" s="55">
        <f t="shared" si="45"/>
        <v>1.2112350074034268E-3</v>
      </c>
      <c r="N157" s="55">
        <f t="shared" si="45"/>
        <v>1.2243105732327078E-3</v>
      </c>
      <c r="O157" s="55">
        <f t="shared" si="45"/>
        <v>1.2324370551431946E-3</v>
      </c>
      <c r="P157" s="55">
        <f t="shared" si="45"/>
        <v>1.2405635370536813E-3</v>
      </c>
      <c r="Q157" s="55">
        <f t="shared" si="45"/>
        <v>1.2486900189641683E-3</v>
      </c>
      <c r="R157" s="55">
        <f t="shared" si="45"/>
        <v>1.2568165008746551E-3</v>
      </c>
      <c r="S157" s="55">
        <f t="shared" si="45"/>
        <v>1.2649429827851417E-3</v>
      </c>
      <c r="T157" s="55">
        <f t="shared" si="45"/>
        <v>1.2730694646956289E-3</v>
      </c>
      <c r="U157" s="55">
        <f t="shared" si="45"/>
        <v>1.2811959466061155E-3</v>
      </c>
      <c r="V157" s="55">
        <f t="shared" si="45"/>
        <v>1.2893224285166027E-3</v>
      </c>
      <c r="W157" s="55">
        <f t="shared" si="45"/>
        <v>1.2974489104270895E-3</v>
      </c>
      <c r="X157" s="55">
        <f t="shared" si="45"/>
        <v>1.3055753923375763E-3</v>
      </c>
      <c r="Y157" s="55">
        <f t="shared" si="45"/>
        <v>1.3137018742480631E-3</v>
      </c>
      <c r="Z157" s="55">
        <f t="shared" si="45"/>
        <v>1.3218283561585501E-3</v>
      </c>
      <c r="AA157" s="55">
        <f t="shared" si="45"/>
        <v>1.3299548380690366E-3</v>
      </c>
      <c r="AB157" s="55">
        <f t="shared" si="45"/>
        <v>1.3380813199795236E-3</v>
      </c>
      <c r="AC157" s="290">
        <f t="shared" si="45"/>
        <v>1.3462078018900104E-3</v>
      </c>
      <c r="AD157" s="376">
        <f t="shared" si="29"/>
        <v>2.7918618961070032E-2</v>
      </c>
    </row>
    <row r="158" spans="1:30" s="112" customFormat="1" ht="12">
      <c r="A158" s="58"/>
      <c r="C158" s="49" t="s">
        <v>40</v>
      </c>
      <c r="D158" s="328">
        <f>D145</f>
        <v>-6200000</v>
      </c>
      <c r="E158" s="236"/>
      <c r="F158" s="275">
        <f>F157*$D$158</f>
        <v>0</v>
      </c>
      <c r="G158" s="275">
        <f t="shared" ref="G158:AC158" si="46">G157*$D$158</f>
        <v>-1755.8114992630001</v>
      </c>
      <c r="H158" s="275">
        <f t="shared" si="46"/>
        <v>-7104.3145051935408</v>
      </c>
      <c r="I158" s="275">
        <f t="shared" si="46"/>
        <v>-7185.3830133350802</v>
      </c>
      <c r="J158" s="275">
        <f t="shared" si="46"/>
        <v>-7266.4515214766225</v>
      </c>
      <c r="K158" s="275">
        <f t="shared" si="46"/>
        <v>-7347.5200296181647</v>
      </c>
      <c r="L158" s="275">
        <f t="shared" si="46"/>
        <v>-7428.5885377597069</v>
      </c>
      <c r="M158" s="275">
        <f t="shared" si="46"/>
        <v>-7509.6570459012464</v>
      </c>
      <c r="N158" s="275">
        <f t="shared" si="46"/>
        <v>-7590.7255540427877</v>
      </c>
      <c r="O158" s="275">
        <f t="shared" si="46"/>
        <v>-7641.1097418878062</v>
      </c>
      <c r="P158" s="275">
        <f t="shared" si="46"/>
        <v>-7691.4939297328247</v>
      </c>
      <c r="Q158" s="275">
        <f t="shared" si="46"/>
        <v>-7741.878117577844</v>
      </c>
      <c r="R158" s="275">
        <f t="shared" si="46"/>
        <v>-7792.2623054228616</v>
      </c>
      <c r="S158" s="275">
        <f t="shared" si="46"/>
        <v>-7842.6464932678782</v>
      </c>
      <c r="T158" s="275">
        <f t="shared" si="46"/>
        <v>-7893.0306811128994</v>
      </c>
      <c r="U158" s="275">
        <f t="shared" si="46"/>
        <v>-7943.414868957916</v>
      </c>
      <c r="V158" s="275">
        <f t="shared" si="46"/>
        <v>-7993.7990568029372</v>
      </c>
      <c r="W158" s="275">
        <f t="shared" si="46"/>
        <v>-8044.1832446479548</v>
      </c>
      <c r="X158" s="275">
        <f t="shared" si="46"/>
        <v>-8094.5674324929732</v>
      </c>
      <c r="Y158" s="275">
        <f t="shared" si="46"/>
        <v>-8144.9516203379908</v>
      </c>
      <c r="Z158" s="275">
        <f t="shared" si="46"/>
        <v>-8195.3358081830102</v>
      </c>
      <c r="AA158" s="275">
        <f t="shared" si="46"/>
        <v>-8245.7199960280268</v>
      </c>
      <c r="AB158" s="275">
        <f t="shared" si="46"/>
        <v>-8296.1041838730471</v>
      </c>
      <c r="AC158" s="288">
        <f t="shared" si="46"/>
        <v>-8346.4883717180655</v>
      </c>
      <c r="AD158" s="369">
        <f t="shared" si="29"/>
        <v>-173095.43755863418</v>
      </c>
    </row>
    <row r="159" spans="1:30" s="112" customFormat="1" ht="12">
      <c r="A159" s="58"/>
      <c r="C159" s="78" t="s">
        <v>560</v>
      </c>
      <c r="D159" s="229">
        <f>'Mode Operating Assumptions'!$D$198</f>
        <v>8.7375046258002826E-6</v>
      </c>
      <c r="E159" s="236"/>
      <c r="F159" s="55">
        <f t="shared" ref="F159:AC159" si="47">$D$159*(F$16+F$17)</f>
        <v>0</v>
      </c>
      <c r="G159" s="55">
        <f t="shared" si="47"/>
        <v>1.3216232671753767E-2</v>
      </c>
      <c r="H159" s="55">
        <f t="shared" si="47"/>
        <v>5.3475144406654282E-2</v>
      </c>
      <c r="I159" s="55">
        <f t="shared" si="47"/>
        <v>5.4085358126293476E-2</v>
      </c>
      <c r="J159" s="55">
        <f t="shared" si="47"/>
        <v>5.469557184593269E-2</v>
      </c>
      <c r="K159" s="55">
        <f t="shared" si="47"/>
        <v>5.5305785565571905E-2</v>
      </c>
      <c r="L159" s="55">
        <f t="shared" si="47"/>
        <v>5.591599928521112E-2</v>
      </c>
      <c r="M159" s="55">
        <f t="shared" si="47"/>
        <v>5.6526213004850313E-2</v>
      </c>
      <c r="N159" s="55">
        <f t="shared" si="47"/>
        <v>5.7136426724489528E-2</v>
      </c>
      <c r="O159" s="55">
        <f t="shared" si="47"/>
        <v>5.7515675379494133E-2</v>
      </c>
      <c r="P159" s="55">
        <f t="shared" si="47"/>
        <v>5.7894924034498731E-2</v>
      </c>
      <c r="Q159" s="55">
        <f t="shared" si="47"/>
        <v>5.8274172689503349E-2</v>
      </c>
      <c r="R159" s="55">
        <f t="shared" si="47"/>
        <v>5.8653421344507954E-2</v>
      </c>
      <c r="S159" s="55">
        <f t="shared" si="47"/>
        <v>5.9032669999512538E-2</v>
      </c>
      <c r="T159" s="55">
        <f t="shared" si="47"/>
        <v>5.9411918654517164E-2</v>
      </c>
      <c r="U159" s="55">
        <f t="shared" si="47"/>
        <v>5.9791167309521762E-2</v>
      </c>
      <c r="V159" s="55">
        <f t="shared" si="47"/>
        <v>6.017041596452638E-2</v>
      </c>
      <c r="W159" s="55">
        <f t="shared" si="47"/>
        <v>6.0549664619530978E-2</v>
      </c>
      <c r="X159" s="55">
        <f t="shared" si="47"/>
        <v>6.0928913274535583E-2</v>
      </c>
      <c r="Y159" s="55">
        <f t="shared" si="47"/>
        <v>6.1308161929540195E-2</v>
      </c>
      <c r="Z159" s="55">
        <f t="shared" si="47"/>
        <v>6.16874105845448E-2</v>
      </c>
      <c r="AA159" s="55">
        <f t="shared" si="47"/>
        <v>6.206665923954939E-2</v>
      </c>
      <c r="AB159" s="55">
        <f t="shared" si="47"/>
        <v>6.2445907894554009E-2</v>
      </c>
      <c r="AC159" s="290">
        <f t="shared" si="47"/>
        <v>6.2825156549558614E-2</v>
      </c>
      <c r="AD159" s="376">
        <f t="shared" si="29"/>
        <v>1.3029129710986525</v>
      </c>
    </row>
    <row r="160" spans="1:30" s="112" customFormat="1" ht="12">
      <c r="A160" s="58"/>
      <c r="C160" s="49" t="s">
        <v>41</v>
      </c>
      <c r="D160" s="328">
        <f>D147</f>
        <v>-291400</v>
      </c>
      <c r="E160" s="236"/>
      <c r="F160" s="275">
        <f>F159*$D$160</f>
        <v>0</v>
      </c>
      <c r="G160" s="275">
        <f t="shared" ref="G160:AC160" si="48">G159*$D$160</f>
        <v>-3851.2102005490478</v>
      </c>
      <c r="H160" s="275">
        <f t="shared" si="48"/>
        <v>-15582.657080099058</v>
      </c>
      <c r="I160" s="275">
        <f t="shared" si="48"/>
        <v>-15760.473358001918</v>
      </c>
      <c r="J160" s="275">
        <f t="shared" si="48"/>
        <v>-15938.289635904786</v>
      </c>
      <c r="K160" s="275">
        <f t="shared" si="48"/>
        <v>-16116.105913807653</v>
      </c>
      <c r="L160" s="275">
        <f t="shared" si="48"/>
        <v>-16293.922191710521</v>
      </c>
      <c r="M160" s="275">
        <f t="shared" si="48"/>
        <v>-16471.738469613381</v>
      </c>
      <c r="N160" s="275">
        <f t="shared" si="48"/>
        <v>-16649.554747516249</v>
      </c>
      <c r="O160" s="275">
        <f t="shared" si="48"/>
        <v>-16760.067805584589</v>
      </c>
      <c r="P160" s="275">
        <f t="shared" si="48"/>
        <v>-16870.580863652929</v>
      </c>
      <c r="Q160" s="275">
        <f t="shared" si="48"/>
        <v>-16981.093921721276</v>
      </c>
      <c r="R160" s="275">
        <f t="shared" si="48"/>
        <v>-17091.606979789616</v>
      </c>
      <c r="S160" s="275">
        <f t="shared" si="48"/>
        <v>-17202.120037857952</v>
      </c>
      <c r="T160" s="275">
        <f t="shared" si="48"/>
        <v>-17312.633095926303</v>
      </c>
      <c r="U160" s="275">
        <f t="shared" si="48"/>
        <v>-17423.146153994643</v>
      </c>
      <c r="V160" s="275">
        <f t="shared" si="48"/>
        <v>-17533.659212062987</v>
      </c>
      <c r="W160" s="275">
        <f t="shared" si="48"/>
        <v>-17644.172270131327</v>
      </c>
      <c r="X160" s="275">
        <f t="shared" si="48"/>
        <v>-17754.68532819967</v>
      </c>
      <c r="Y160" s="275">
        <f t="shared" si="48"/>
        <v>-17865.198386268014</v>
      </c>
      <c r="Z160" s="275">
        <f t="shared" si="48"/>
        <v>-17975.711444336353</v>
      </c>
      <c r="AA160" s="275">
        <f t="shared" si="48"/>
        <v>-18086.224502404693</v>
      </c>
      <c r="AB160" s="275">
        <f t="shared" si="48"/>
        <v>-18196.737560473037</v>
      </c>
      <c r="AC160" s="288">
        <f t="shared" si="48"/>
        <v>-18307.25061854138</v>
      </c>
      <c r="AD160" s="369">
        <f t="shared" si="29"/>
        <v>-379668.83977814729</v>
      </c>
    </row>
    <row r="161" spans="1:30" s="112" customFormat="1" ht="12">
      <c r="A161" s="58"/>
      <c r="C161" s="49"/>
      <c r="D161" s="328"/>
      <c r="E161" s="236"/>
      <c r="F161" s="275"/>
      <c r="G161" s="275"/>
      <c r="H161" s="275"/>
      <c r="I161" s="275"/>
      <c r="J161" s="275"/>
      <c r="K161" s="275"/>
      <c r="L161" s="275"/>
      <c r="M161" s="275"/>
      <c r="N161" s="275"/>
      <c r="O161" s="275"/>
      <c r="P161" s="275"/>
      <c r="Q161" s="275"/>
      <c r="R161" s="275"/>
      <c r="S161" s="275"/>
      <c r="T161" s="275"/>
      <c r="U161" s="275"/>
      <c r="V161" s="275"/>
      <c r="W161" s="275"/>
      <c r="X161" s="275"/>
      <c r="Y161" s="275"/>
      <c r="Z161" s="275"/>
      <c r="AA161" s="275"/>
      <c r="AB161" s="275"/>
      <c r="AC161" s="288"/>
      <c r="AD161" s="369"/>
    </row>
    <row r="162" spans="1:30" s="112" customFormat="1" ht="12">
      <c r="A162" s="58"/>
      <c r="C162" s="78" t="s">
        <v>608</v>
      </c>
      <c r="D162" s="467">
        <v>-0.15</v>
      </c>
      <c r="E162" s="236"/>
      <c r="F162" s="45"/>
      <c r="G162" s="45"/>
      <c r="H162" s="45"/>
      <c r="I162" s="45"/>
      <c r="J162" s="45"/>
      <c r="K162" s="45"/>
      <c r="L162" s="45"/>
      <c r="M162" s="45"/>
      <c r="N162" s="45"/>
      <c r="O162" s="45"/>
      <c r="P162" s="45"/>
      <c r="Q162" s="45"/>
      <c r="R162" s="45"/>
      <c r="S162" s="45"/>
      <c r="T162" s="45"/>
      <c r="U162" s="45"/>
      <c r="V162" s="45"/>
      <c r="W162" s="45"/>
      <c r="X162" s="45"/>
      <c r="Y162" s="45"/>
      <c r="Z162" s="45"/>
      <c r="AA162" s="45"/>
      <c r="AB162" s="45"/>
      <c r="AC162" s="283"/>
      <c r="AD162" s="360">
        <f>SUM(F162:AC162)</f>
        <v>0</v>
      </c>
    </row>
    <row r="163" spans="1:30" s="112" customFormat="1" ht="12">
      <c r="A163" s="58"/>
      <c r="B163" s="469" t="s">
        <v>610</v>
      </c>
      <c r="C163" s="78" t="s">
        <v>559</v>
      </c>
      <c r="D163" s="229">
        <f>D157*D$162</f>
        <v>-2.8083885999608471E-8</v>
      </c>
      <c r="E163" s="236"/>
      <c r="F163" s="55">
        <f>$D163*(F$15+F$16+F$17)</f>
        <v>0</v>
      </c>
      <c r="G163" s="55">
        <f t="shared" ref="G163:AC163" si="49">$D163*(G$15+G$16+G$17)</f>
        <v>-3.2567471357297575E-4</v>
      </c>
      <c r="H163" s="55">
        <f t="shared" si="49"/>
        <v>-1.317735754995576E-3</v>
      </c>
      <c r="I163" s="55">
        <f t="shared" si="49"/>
        <v>-1.3327726556992491E-3</v>
      </c>
      <c r="J163" s="55">
        <f t="shared" si="49"/>
        <v>-1.3478095564029219E-3</v>
      </c>
      <c r="K163" s="55">
        <f t="shared" si="49"/>
        <v>-1.362846457106595E-3</v>
      </c>
      <c r="L163" s="55">
        <f t="shared" si="49"/>
        <v>-1.3778833578102678E-3</v>
      </c>
      <c r="M163" s="55">
        <f t="shared" si="49"/>
        <v>-1.3929202585139407E-3</v>
      </c>
      <c r="N163" s="55">
        <f t="shared" si="49"/>
        <v>-1.4079571592176137E-3</v>
      </c>
      <c r="O163" s="55">
        <f t="shared" si="49"/>
        <v>-1.4173026134146735E-3</v>
      </c>
      <c r="P163" s="55">
        <f t="shared" si="49"/>
        <v>-1.4266480676117335E-3</v>
      </c>
      <c r="Q163" s="55">
        <f t="shared" si="49"/>
        <v>-1.4359935218087934E-3</v>
      </c>
      <c r="R163" s="55">
        <f t="shared" si="49"/>
        <v>-1.4453389760058536E-3</v>
      </c>
      <c r="S163" s="55">
        <f t="shared" si="49"/>
        <v>-1.4546844302029127E-3</v>
      </c>
      <c r="T163" s="55">
        <f t="shared" si="49"/>
        <v>-1.4640298843999731E-3</v>
      </c>
      <c r="U163" s="55">
        <f t="shared" si="49"/>
        <v>-1.4733753385970329E-3</v>
      </c>
      <c r="V163" s="55">
        <f t="shared" si="49"/>
        <v>-1.4827207927940928E-3</v>
      </c>
      <c r="W163" s="55">
        <f t="shared" si="49"/>
        <v>-1.4920662469911528E-3</v>
      </c>
      <c r="X163" s="55">
        <f t="shared" si="49"/>
        <v>-1.5014117011882125E-3</v>
      </c>
      <c r="Y163" s="55">
        <f t="shared" si="49"/>
        <v>-1.5107571553852725E-3</v>
      </c>
      <c r="Z163" s="55">
        <f t="shared" si="49"/>
        <v>-1.5201026095823325E-3</v>
      </c>
      <c r="AA163" s="55">
        <f t="shared" si="49"/>
        <v>-1.529448063779392E-3</v>
      </c>
      <c r="AB163" s="55">
        <f t="shared" si="49"/>
        <v>-1.538793517976452E-3</v>
      </c>
      <c r="AC163" s="55">
        <f t="shared" si="49"/>
        <v>-1.5481389721735119E-3</v>
      </c>
      <c r="AD163" s="361">
        <f>SUM(F163:AC163)</f>
        <v>-3.2106411805230529E-2</v>
      </c>
    </row>
    <row r="164" spans="1:30" s="112" customFormat="1" ht="12">
      <c r="A164" s="58"/>
      <c r="B164" s="58"/>
      <c r="C164" s="49" t="s">
        <v>40</v>
      </c>
      <c r="D164" s="328">
        <f>D158</f>
        <v>-6200000</v>
      </c>
      <c r="E164" s="236"/>
      <c r="F164" s="337">
        <f t="shared" ref="F164" si="50">F163*$D$164</f>
        <v>0</v>
      </c>
      <c r="G164" s="337">
        <f t="shared" ref="G164:AB164" si="51">G163*$D$164</f>
        <v>2019.1832241524496</v>
      </c>
      <c r="H164" s="337">
        <f t="shared" si="51"/>
        <v>8169.9616809725712</v>
      </c>
      <c r="I164" s="337">
        <f t="shared" si="51"/>
        <v>8263.1904653353449</v>
      </c>
      <c r="J164" s="337">
        <f t="shared" si="51"/>
        <v>8356.4192496981159</v>
      </c>
      <c r="K164" s="337">
        <f t="shared" si="51"/>
        <v>8449.6480340608887</v>
      </c>
      <c r="L164" s="337">
        <f t="shared" si="51"/>
        <v>8542.8768184236615</v>
      </c>
      <c r="M164" s="337">
        <f t="shared" si="51"/>
        <v>8636.1056027864324</v>
      </c>
      <c r="N164" s="337">
        <f t="shared" si="51"/>
        <v>8729.3343871492052</v>
      </c>
      <c r="O164" s="337">
        <f t="shared" si="51"/>
        <v>8787.2762031709754</v>
      </c>
      <c r="P164" s="337">
        <f t="shared" si="51"/>
        <v>8845.2180191927473</v>
      </c>
      <c r="Q164" s="337">
        <f t="shared" si="51"/>
        <v>8903.1598352145193</v>
      </c>
      <c r="R164" s="337">
        <f t="shared" si="51"/>
        <v>8961.101651236293</v>
      </c>
      <c r="S164" s="337">
        <f t="shared" si="51"/>
        <v>9019.0434672580595</v>
      </c>
      <c r="T164" s="337">
        <f t="shared" si="51"/>
        <v>9076.9852832798333</v>
      </c>
      <c r="U164" s="337">
        <f t="shared" si="51"/>
        <v>9134.9270993016034</v>
      </c>
      <c r="V164" s="337">
        <f t="shared" si="51"/>
        <v>9192.8689153233754</v>
      </c>
      <c r="W164" s="337">
        <f t="shared" si="51"/>
        <v>9250.8107313451474</v>
      </c>
      <c r="X164" s="337">
        <f t="shared" si="51"/>
        <v>9308.7525473669175</v>
      </c>
      <c r="Y164" s="337">
        <f t="shared" si="51"/>
        <v>9366.6943633886895</v>
      </c>
      <c r="Z164" s="337">
        <f t="shared" si="51"/>
        <v>9424.6361794104614</v>
      </c>
      <c r="AA164" s="337">
        <f t="shared" si="51"/>
        <v>9482.5779954322297</v>
      </c>
      <c r="AB164" s="337">
        <f t="shared" si="51"/>
        <v>9540.5198114540017</v>
      </c>
      <c r="AC164" s="414">
        <f t="shared" ref="AC164" si="52">AC163*$D$164</f>
        <v>9598.4616274757736</v>
      </c>
      <c r="AD164" s="382">
        <f>SUM(F164:AC164)</f>
        <v>199059.75319242931</v>
      </c>
    </row>
    <row r="165" spans="1:30" s="112" customFormat="1" ht="12">
      <c r="A165" s="58"/>
      <c r="B165" s="58"/>
      <c r="C165" s="78" t="s">
        <v>560</v>
      </c>
      <c r="D165" s="229">
        <f>D159*D$162</f>
        <v>-1.3106256938700423E-6</v>
      </c>
      <c r="E165" s="236"/>
      <c r="F165" s="55">
        <f>$D165*(F$15+F$16+F$17)</f>
        <v>0</v>
      </c>
      <c r="G165" s="55">
        <f t="shared" ref="G165:AC165" si="53">$D165*(G$15+G$16+G$17)</f>
        <v>-1.519866757251683E-2</v>
      </c>
      <c r="H165" s="55">
        <f t="shared" si="53"/>
        <v>-6.149641606765241E-2</v>
      </c>
      <c r="I165" s="55">
        <f t="shared" si="53"/>
        <v>-6.21981618452375E-2</v>
      </c>
      <c r="J165" s="55">
        <f t="shared" si="53"/>
        <v>-6.289990762282259E-2</v>
      </c>
      <c r="K165" s="55">
        <f t="shared" si="53"/>
        <v>-6.3601653400407687E-2</v>
      </c>
      <c r="L165" s="55">
        <f t="shared" si="53"/>
        <v>-6.430339917799277E-2</v>
      </c>
      <c r="M165" s="55">
        <f t="shared" si="53"/>
        <v>-6.5005144955577854E-2</v>
      </c>
      <c r="N165" s="55">
        <f t="shared" si="53"/>
        <v>-6.5706890733162951E-2</v>
      </c>
      <c r="O165" s="55">
        <f t="shared" si="53"/>
        <v>-6.6143026686418249E-2</v>
      </c>
      <c r="P165" s="55">
        <f t="shared" si="53"/>
        <v>-6.6579162639673548E-2</v>
      </c>
      <c r="Q165" s="55">
        <f t="shared" si="53"/>
        <v>-6.7015298592928846E-2</v>
      </c>
      <c r="R165" s="55">
        <f t="shared" si="53"/>
        <v>-6.7451434546184158E-2</v>
      </c>
      <c r="S165" s="55">
        <f t="shared" si="53"/>
        <v>-6.7887570499439415E-2</v>
      </c>
      <c r="T165" s="55">
        <f t="shared" si="53"/>
        <v>-6.8323706452694727E-2</v>
      </c>
      <c r="U165" s="55">
        <f t="shared" si="53"/>
        <v>-6.8759842405950025E-2</v>
      </c>
      <c r="V165" s="55">
        <f t="shared" si="53"/>
        <v>-6.9195978359205323E-2</v>
      </c>
      <c r="W165" s="55">
        <f t="shared" si="53"/>
        <v>-6.9632114312460636E-2</v>
      </c>
      <c r="X165" s="55">
        <f t="shared" si="53"/>
        <v>-7.006825026571592E-2</v>
      </c>
      <c r="Y165" s="55">
        <f t="shared" si="53"/>
        <v>-7.0504386218971205E-2</v>
      </c>
      <c r="Z165" s="55">
        <f t="shared" si="53"/>
        <v>-7.0940522172226517E-2</v>
      </c>
      <c r="AA165" s="55">
        <f t="shared" si="53"/>
        <v>-7.1376658125481787E-2</v>
      </c>
      <c r="AB165" s="55">
        <f t="shared" si="53"/>
        <v>-7.1812794078737099E-2</v>
      </c>
      <c r="AC165" s="55">
        <f t="shared" si="53"/>
        <v>-7.2248930031992398E-2</v>
      </c>
      <c r="AD165" s="361">
        <f>SUM(F165:AC165)</f>
        <v>-1.4983499167634504</v>
      </c>
    </row>
    <row r="166" spans="1:30" s="112" customFormat="1" ht="12">
      <c r="A166" s="58"/>
      <c r="B166" s="58"/>
      <c r="C166" s="49" t="s">
        <v>41</v>
      </c>
      <c r="D166" s="328">
        <f>D160</f>
        <v>-291400</v>
      </c>
      <c r="E166" s="236"/>
      <c r="F166" s="337">
        <f t="shared" ref="F166" si="54">F165*$D$166</f>
        <v>0</v>
      </c>
      <c r="G166" s="337">
        <f t="shared" ref="G166:AB166" si="55">G165*$D$166</f>
        <v>4428.8917306314042</v>
      </c>
      <c r="H166" s="337">
        <f t="shared" si="55"/>
        <v>17920.055642113912</v>
      </c>
      <c r="I166" s="337">
        <f t="shared" si="55"/>
        <v>18124.544361702207</v>
      </c>
      <c r="J166" s="337">
        <f t="shared" si="55"/>
        <v>18329.033081290501</v>
      </c>
      <c r="K166" s="337">
        <f t="shared" si="55"/>
        <v>18533.5218008788</v>
      </c>
      <c r="L166" s="337">
        <f t="shared" si="55"/>
        <v>18738.010520467094</v>
      </c>
      <c r="M166" s="337">
        <f t="shared" si="55"/>
        <v>18942.499240055386</v>
      </c>
      <c r="N166" s="337">
        <f t="shared" si="55"/>
        <v>19146.987959643684</v>
      </c>
      <c r="O166" s="337">
        <f t="shared" si="55"/>
        <v>19274.077976422279</v>
      </c>
      <c r="P166" s="337">
        <f t="shared" si="55"/>
        <v>19401.16799320087</v>
      </c>
      <c r="Q166" s="337">
        <f t="shared" si="55"/>
        <v>19528.258009979465</v>
      </c>
      <c r="R166" s="337">
        <f t="shared" si="55"/>
        <v>19655.348026758063</v>
      </c>
      <c r="S166" s="337">
        <f t="shared" si="55"/>
        <v>19782.438043536644</v>
      </c>
      <c r="T166" s="337">
        <f t="shared" si="55"/>
        <v>19909.528060315242</v>
      </c>
      <c r="U166" s="337">
        <f t="shared" si="55"/>
        <v>20036.618077093837</v>
      </c>
      <c r="V166" s="337">
        <f t="shared" si="55"/>
        <v>20163.708093872432</v>
      </c>
      <c r="W166" s="337">
        <f t="shared" si="55"/>
        <v>20290.798110651031</v>
      </c>
      <c r="X166" s="337">
        <f t="shared" si="55"/>
        <v>20417.888127429618</v>
      </c>
      <c r="Y166" s="337">
        <f t="shared" si="55"/>
        <v>20544.978144208209</v>
      </c>
      <c r="Z166" s="337">
        <f t="shared" si="55"/>
        <v>20672.068160986808</v>
      </c>
      <c r="AA166" s="337">
        <f t="shared" si="55"/>
        <v>20799.158177765392</v>
      </c>
      <c r="AB166" s="337">
        <f t="shared" si="55"/>
        <v>20926.24819454399</v>
      </c>
      <c r="AC166" s="414">
        <f t="shared" ref="AC166" si="56">AC165*$D$166</f>
        <v>21053.338211322585</v>
      </c>
      <c r="AD166" s="382">
        <f>SUM(F166:AC166)</f>
        <v>436619.1657448695</v>
      </c>
    </row>
    <row r="167" spans="1:30" s="112" customFormat="1" ht="12">
      <c r="A167" s="58"/>
      <c r="B167" s="58"/>
      <c r="C167" s="49"/>
      <c r="D167" s="229"/>
      <c r="E167" s="236"/>
      <c r="F167" s="275"/>
      <c r="G167" s="275"/>
      <c r="H167" s="275"/>
      <c r="I167" s="275"/>
      <c r="J167" s="275"/>
      <c r="K167" s="275"/>
      <c r="L167" s="275"/>
      <c r="M167" s="275"/>
      <c r="N167" s="275"/>
      <c r="O167" s="275"/>
      <c r="P167" s="275"/>
      <c r="Q167" s="275"/>
      <c r="R167" s="275"/>
      <c r="S167" s="275"/>
      <c r="T167" s="275"/>
      <c r="U167" s="275"/>
      <c r="V167" s="275"/>
      <c r="W167" s="275"/>
      <c r="X167" s="275"/>
      <c r="Y167" s="275"/>
      <c r="Z167" s="275"/>
      <c r="AA167" s="275"/>
      <c r="AB167" s="275"/>
      <c r="AC167" s="288"/>
      <c r="AD167" s="369">
        <f t="shared" si="29"/>
        <v>0</v>
      </c>
    </row>
    <row r="168" spans="1:30" s="112" customFormat="1" ht="12">
      <c r="A168" s="58"/>
      <c r="B168" s="58" t="s">
        <v>545</v>
      </c>
      <c r="C168" s="78" t="s">
        <v>603</v>
      </c>
      <c r="D168" s="229"/>
      <c r="E168" s="236"/>
      <c r="AC168" s="282"/>
      <c r="AD168" s="360">
        <f t="shared" si="29"/>
        <v>0</v>
      </c>
    </row>
    <row r="169" spans="1:30" s="112" customFormat="1" ht="12">
      <c r="A169" s="58"/>
      <c r="B169" s="58"/>
      <c r="C169" s="78" t="s">
        <v>559</v>
      </c>
      <c r="D169" s="229">
        <f>'Mode Operating Assumptions'!$D$186</f>
        <v>8.6836127924972328E-9</v>
      </c>
      <c r="E169" s="236"/>
      <c r="F169" s="55">
        <f>$D169*F$23</f>
        <v>0</v>
      </c>
      <c r="G169" s="55">
        <f t="shared" ref="G169:AC169" si="57">$D169*G$23</f>
        <v>-1.5098692218412269E-4</v>
      </c>
      <c r="H169" s="55">
        <f t="shared" si="57"/>
        <v>-6.109189863589792E-4</v>
      </c>
      <c r="I169" s="55">
        <f t="shared" si="57"/>
        <v>-6.1789028398146753E-4</v>
      </c>
      <c r="J169" s="55">
        <f t="shared" si="57"/>
        <v>-6.2486158160395574E-4</v>
      </c>
      <c r="K169" s="55">
        <f t="shared" si="57"/>
        <v>-6.3183287922644396E-4</v>
      </c>
      <c r="L169" s="55">
        <f t="shared" si="57"/>
        <v>-6.388041768489325E-4</v>
      </c>
      <c r="M169" s="55">
        <f t="shared" si="57"/>
        <v>-6.4577547447142061E-4</v>
      </c>
      <c r="N169" s="55">
        <f t="shared" si="57"/>
        <v>-6.5274677209390894E-4</v>
      </c>
      <c r="O169" s="55">
        <f t="shared" si="57"/>
        <v>-6.5707944302849353E-4</v>
      </c>
      <c r="P169" s="55">
        <f t="shared" si="57"/>
        <v>-6.6141211396307791E-4</v>
      </c>
      <c r="Q169" s="55">
        <f t="shared" si="57"/>
        <v>-6.657447848976624E-4</v>
      </c>
      <c r="R169" s="55">
        <f t="shared" si="57"/>
        <v>-6.700774558322471E-4</v>
      </c>
      <c r="S169" s="55">
        <f t="shared" si="57"/>
        <v>-6.7441012676683137E-4</v>
      </c>
      <c r="T169" s="55">
        <f t="shared" si="57"/>
        <v>-6.7874279770141596E-4</v>
      </c>
      <c r="U169" s="55">
        <f t="shared" si="57"/>
        <v>-6.8307546863600045E-4</v>
      </c>
      <c r="V169" s="55">
        <f t="shared" si="57"/>
        <v>-6.8740813957058494E-4</v>
      </c>
      <c r="W169" s="55">
        <f t="shared" si="57"/>
        <v>-6.9174081050516942E-4</v>
      </c>
      <c r="X169" s="55">
        <f t="shared" si="57"/>
        <v>-6.9607348143975413E-4</v>
      </c>
      <c r="Y169" s="55">
        <f t="shared" si="57"/>
        <v>-7.004061523743385E-4</v>
      </c>
      <c r="Z169" s="55">
        <f t="shared" si="57"/>
        <v>-7.0473882330892299E-4</v>
      </c>
      <c r="AA169" s="55">
        <f t="shared" si="57"/>
        <v>-7.0907149424350737E-4</v>
      </c>
      <c r="AB169" s="55">
        <f t="shared" si="57"/>
        <v>-7.1340416517809196E-4</v>
      </c>
      <c r="AC169" s="290">
        <f t="shared" si="57"/>
        <v>-7.1773683611267656E-4</v>
      </c>
      <c r="AD169" s="376">
        <f t="shared" si="29"/>
        <v>-1.4884939170328005E-2</v>
      </c>
    </row>
    <row r="170" spans="1:30" s="112" customFormat="1" ht="12">
      <c r="A170" s="58"/>
      <c r="B170" s="58"/>
      <c r="C170" s="49" t="s">
        <v>40</v>
      </c>
      <c r="D170" s="328">
        <f>D158</f>
        <v>-6200000</v>
      </c>
      <c r="E170" s="236"/>
      <c r="F170" s="275">
        <f>F169*$D$170</f>
        <v>0</v>
      </c>
      <c r="G170" s="275">
        <f t="shared" ref="G170:AC170" si="58">G169*$D$170</f>
        <v>936.11891754156068</v>
      </c>
      <c r="H170" s="275">
        <f t="shared" si="58"/>
        <v>3787.697715425671</v>
      </c>
      <c r="I170" s="275">
        <f t="shared" si="58"/>
        <v>3830.9197606850985</v>
      </c>
      <c r="J170" s="275">
        <f t="shared" si="58"/>
        <v>3874.1418059445255</v>
      </c>
      <c r="K170" s="275">
        <f t="shared" si="58"/>
        <v>3917.3638512039524</v>
      </c>
      <c r="L170" s="275">
        <f t="shared" si="58"/>
        <v>3960.5858964633817</v>
      </c>
      <c r="M170" s="275">
        <f t="shared" si="58"/>
        <v>4003.8079417228078</v>
      </c>
      <c r="N170" s="275">
        <f t="shared" si="58"/>
        <v>4047.0299869822352</v>
      </c>
      <c r="O170" s="275">
        <f t="shared" si="58"/>
        <v>4073.8925467766599</v>
      </c>
      <c r="P170" s="275">
        <f t="shared" si="58"/>
        <v>4100.7551065710832</v>
      </c>
      <c r="Q170" s="275">
        <f t="shared" si="58"/>
        <v>4127.6176663655069</v>
      </c>
      <c r="R170" s="275">
        <f t="shared" si="58"/>
        <v>4154.4802261599316</v>
      </c>
      <c r="S170" s="275">
        <f t="shared" si="58"/>
        <v>4181.3427859543544</v>
      </c>
      <c r="T170" s="275">
        <f t="shared" si="58"/>
        <v>4208.2053457487791</v>
      </c>
      <c r="U170" s="275">
        <f t="shared" si="58"/>
        <v>4235.0679055432029</v>
      </c>
      <c r="V170" s="275">
        <f t="shared" si="58"/>
        <v>4261.9304653376266</v>
      </c>
      <c r="W170" s="275">
        <f t="shared" si="58"/>
        <v>4288.7930251320504</v>
      </c>
      <c r="X170" s="275">
        <f t="shared" si="58"/>
        <v>4315.655584926476</v>
      </c>
      <c r="Y170" s="275">
        <f t="shared" si="58"/>
        <v>4342.5181447208988</v>
      </c>
      <c r="Z170" s="275">
        <f t="shared" si="58"/>
        <v>4369.3807045153226</v>
      </c>
      <c r="AA170" s="275">
        <f t="shared" si="58"/>
        <v>4396.2432643097454</v>
      </c>
      <c r="AB170" s="275">
        <f t="shared" si="58"/>
        <v>4423.1058241041701</v>
      </c>
      <c r="AC170" s="288">
        <f t="shared" si="58"/>
        <v>4449.9683838985948</v>
      </c>
      <c r="AD170" s="369">
        <f t="shared" ref="AD170:AD185" si="59">SUM(F170:AC170)</f>
        <v>92286.622856033631</v>
      </c>
    </row>
    <row r="171" spans="1:30" s="112" customFormat="1" ht="12">
      <c r="A171" s="58"/>
      <c r="B171" s="58"/>
      <c r="C171" s="78" t="s">
        <v>560</v>
      </c>
      <c r="D171" s="229">
        <f>'Mode Operating Assumptions'!$D$187</f>
        <v>8.1339537419145546E-7</v>
      </c>
      <c r="E171" s="236"/>
      <c r="F171" s="55">
        <f>$D171*F$23</f>
        <v>0</v>
      </c>
      <c r="G171" s="55">
        <f t="shared" ref="G171:AC171" si="60">$D171*G$23</f>
        <v>-1.4142968716210153E-2</v>
      </c>
      <c r="H171" s="55">
        <f t="shared" si="60"/>
        <v>-5.7224877408107312E-2</v>
      </c>
      <c r="I171" s="55">
        <f t="shared" si="60"/>
        <v>-5.7877879951374007E-2</v>
      </c>
      <c r="J171" s="55">
        <f t="shared" si="60"/>
        <v>-5.8530882494640696E-2</v>
      </c>
      <c r="K171" s="55">
        <f t="shared" si="60"/>
        <v>-5.9183885037907377E-2</v>
      </c>
      <c r="L171" s="55">
        <f t="shared" si="60"/>
        <v>-5.9836887581174086E-2</v>
      </c>
      <c r="M171" s="55">
        <f t="shared" si="60"/>
        <v>-6.0489890124440768E-2</v>
      </c>
      <c r="N171" s="55">
        <f t="shared" si="60"/>
        <v>-6.1142892667707456E-2</v>
      </c>
      <c r="O171" s="55">
        <f t="shared" si="60"/>
        <v>-6.1548734634674224E-2</v>
      </c>
      <c r="P171" s="55">
        <f t="shared" si="60"/>
        <v>-6.1954576601640984E-2</v>
      </c>
      <c r="Q171" s="55">
        <f t="shared" si="60"/>
        <v>-6.2360418568607738E-2</v>
      </c>
      <c r="R171" s="55">
        <f t="shared" si="60"/>
        <v>-6.276626053557452E-2</v>
      </c>
      <c r="S171" s="55">
        <f t="shared" si="60"/>
        <v>-6.3172102502541252E-2</v>
      </c>
      <c r="T171" s="55">
        <f t="shared" si="60"/>
        <v>-6.3577944469508027E-2</v>
      </c>
      <c r="U171" s="55">
        <f t="shared" si="60"/>
        <v>-6.3983786436474788E-2</v>
      </c>
      <c r="V171" s="55">
        <f t="shared" si="60"/>
        <v>-6.4389628403441548E-2</v>
      </c>
      <c r="W171" s="55">
        <f t="shared" si="60"/>
        <v>-6.4795470370408309E-2</v>
      </c>
      <c r="X171" s="55">
        <f t="shared" si="60"/>
        <v>-6.5201312337375084E-2</v>
      </c>
      <c r="Y171" s="55">
        <f t="shared" si="60"/>
        <v>-6.560715430434183E-2</v>
      </c>
      <c r="Z171" s="55">
        <f t="shared" si="60"/>
        <v>-6.6012996271308591E-2</v>
      </c>
      <c r="AA171" s="55">
        <f t="shared" si="60"/>
        <v>-6.6418838238275338E-2</v>
      </c>
      <c r="AB171" s="55">
        <f t="shared" si="60"/>
        <v>-6.6824680205242112E-2</v>
      </c>
      <c r="AC171" s="290">
        <f t="shared" si="60"/>
        <v>-6.7230522172208873E-2</v>
      </c>
      <c r="AD171" s="376">
        <f t="shared" si="59"/>
        <v>-1.3942745900331852</v>
      </c>
    </row>
    <row r="172" spans="1:30" s="112" customFormat="1" ht="12">
      <c r="A172" s="58"/>
      <c r="B172" s="58"/>
      <c r="C172" s="49" t="s">
        <v>41</v>
      </c>
      <c r="D172" s="328">
        <f>D160</f>
        <v>-291400</v>
      </c>
      <c r="E172" s="236"/>
      <c r="F172" s="275">
        <f>F171*$D$172</f>
        <v>0</v>
      </c>
      <c r="G172" s="275">
        <f t="shared" ref="G172:AC172" si="61">G171*$D$172</f>
        <v>4121.2610839036388</v>
      </c>
      <c r="H172" s="275">
        <f t="shared" si="61"/>
        <v>16675.32927672247</v>
      </c>
      <c r="I172" s="275">
        <f t="shared" si="61"/>
        <v>16865.614217830385</v>
      </c>
      <c r="J172" s="275">
        <f t="shared" si="61"/>
        <v>17055.8991589383</v>
      </c>
      <c r="K172" s="275">
        <f t="shared" si="61"/>
        <v>17246.184100046208</v>
      </c>
      <c r="L172" s="275">
        <f t="shared" si="61"/>
        <v>17436.469041154131</v>
      </c>
      <c r="M172" s="275">
        <f t="shared" si="61"/>
        <v>17626.753982262038</v>
      </c>
      <c r="N172" s="275">
        <f t="shared" si="61"/>
        <v>17817.038923369953</v>
      </c>
      <c r="O172" s="275">
        <f t="shared" si="61"/>
        <v>17935.301272544068</v>
      </c>
      <c r="P172" s="275">
        <f t="shared" si="61"/>
        <v>18053.563621718182</v>
      </c>
      <c r="Q172" s="275">
        <f t="shared" si="61"/>
        <v>18171.825970892296</v>
      </c>
      <c r="R172" s="275">
        <f t="shared" si="61"/>
        <v>18290.088320066414</v>
      </c>
      <c r="S172" s="275">
        <f t="shared" si="61"/>
        <v>18408.350669240521</v>
      </c>
      <c r="T172" s="275">
        <f t="shared" si="61"/>
        <v>18526.613018414639</v>
      </c>
      <c r="U172" s="275">
        <f t="shared" si="61"/>
        <v>18644.875367588753</v>
      </c>
      <c r="V172" s="275">
        <f t="shared" si="61"/>
        <v>18763.137716762867</v>
      </c>
      <c r="W172" s="275">
        <f t="shared" si="61"/>
        <v>18881.400065936981</v>
      </c>
      <c r="X172" s="275">
        <f t="shared" si="61"/>
        <v>18999.662415111099</v>
      </c>
      <c r="Y172" s="275">
        <f t="shared" si="61"/>
        <v>19117.92476428521</v>
      </c>
      <c r="Z172" s="275">
        <f t="shared" si="61"/>
        <v>19236.187113459324</v>
      </c>
      <c r="AA172" s="275">
        <f t="shared" si="61"/>
        <v>19354.449462633434</v>
      </c>
      <c r="AB172" s="275">
        <f t="shared" si="61"/>
        <v>19472.711811807552</v>
      </c>
      <c r="AC172" s="288">
        <f t="shared" si="61"/>
        <v>19590.974160981667</v>
      </c>
      <c r="AD172" s="369">
        <f t="shared" si="59"/>
        <v>406291.61553567008</v>
      </c>
    </row>
    <row r="173" spans="1:30" s="112" customFormat="1" ht="12">
      <c r="A173" s="58"/>
      <c r="B173" s="58"/>
      <c r="C173" s="78" t="s">
        <v>572</v>
      </c>
      <c r="D173" s="229">
        <f>'Mode Operating Assumptions'!$D$185</f>
        <v>1.8640215942009768E-6</v>
      </c>
      <c r="E173" s="236"/>
      <c r="F173" s="55">
        <f>$D173*F$23</f>
        <v>0</v>
      </c>
      <c r="G173" s="55">
        <f t="shared" ref="G173:AC173" si="62">$D173*G$23</f>
        <v>-3.2410805285597019E-2</v>
      </c>
      <c r="H173" s="55">
        <f t="shared" si="62"/>
        <v>-0.13113967770009502</v>
      </c>
      <c r="I173" s="55">
        <f t="shared" si="62"/>
        <v>-0.13263613425780194</v>
      </c>
      <c r="J173" s="55">
        <f t="shared" si="62"/>
        <v>-0.13413259081550885</v>
      </c>
      <c r="K173" s="55">
        <f t="shared" si="62"/>
        <v>-0.13562904737321574</v>
      </c>
      <c r="L173" s="55">
        <f t="shared" si="62"/>
        <v>-0.13712550393092268</v>
      </c>
      <c r="M173" s="55">
        <f t="shared" si="62"/>
        <v>-0.13862196048862957</v>
      </c>
      <c r="N173" s="55">
        <f t="shared" si="62"/>
        <v>-0.14011841704633649</v>
      </c>
      <c r="O173" s="55">
        <f t="shared" si="62"/>
        <v>-0.14104846682810596</v>
      </c>
      <c r="P173" s="55">
        <f t="shared" si="62"/>
        <v>-0.14197851660987537</v>
      </c>
      <c r="Q173" s="55">
        <f t="shared" si="62"/>
        <v>-0.14290856639164481</v>
      </c>
      <c r="R173" s="55">
        <f t="shared" si="62"/>
        <v>-0.14383861617341431</v>
      </c>
      <c r="S173" s="55">
        <f t="shared" si="62"/>
        <v>-0.1447686659551837</v>
      </c>
      <c r="T173" s="55">
        <f t="shared" si="62"/>
        <v>-0.14569871573695317</v>
      </c>
      <c r="U173" s="55">
        <f t="shared" si="62"/>
        <v>-0.14662876551872264</v>
      </c>
      <c r="V173" s="55">
        <f t="shared" si="62"/>
        <v>-0.14755881530049206</v>
      </c>
      <c r="W173" s="55">
        <f t="shared" si="62"/>
        <v>-0.1484888650822615</v>
      </c>
      <c r="X173" s="55">
        <f t="shared" si="62"/>
        <v>-0.149418914864031</v>
      </c>
      <c r="Y173" s="55">
        <f t="shared" si="62"/>
        <v>-0.15034896464580041</v>
      </c>
      <c r="Z173" s="55">
        <f t="shared" si="62"/>
        <v>-0.15127901442756989</v>
      </c>
      <c r="AA173" s="55">
        <f t="shared" si="62"/>
        <v>-0.1522090642093393</v>
      </c>
      <c r="AB173" s="55">
        <f t="shared" si="62"/>
        <v>-0.15313911399110874</v>
      </c>
      <c r="AC173" s="290">
        <f t="shared" si="62"/>
        <v>-0.15406916377287821</v>
      </c>
      <c r="AD173" s="376">
        <f t="shared" si="59"/>
        <v>-3.1951963664054883</v>
      </c>
    </row>
    <row r="174" spans="1:30" s="112" customFormat="1" ht="12">
      <c r="A174" s="58"/>
      <c r="B174" s="58"/>
      <c r="C174" s="49" t="s">
        <v>547</v>
      </c>
      <c r="D174" s="328">
        <f>-'Mode Operating Assumptions'!C174</f>
        <v>-3285</v>
      </c>
      <c r="E174" s="236"/>
      <c r="F174" s="275">
        <f>F173*$D$174</f>
        <v>0</v>
      </c>
      <c r="G174" s="275">
        <f t="shared" ref="G174:AC174" si="63">G173*$D$174</f>
        <v>106.46949536318621</v>
      </c>
      <c r="H174" s="275">
        <f t="shared" si="63"/>
        <v>430.79384124481214</v>
      </c>
      <c r="I174" s="275">
        <f t="shared" si="63"/>
        <v>435.70970103687938</v>
      </c>
      <c r="J174" s="275">
        <f t="shared" si="63"/>
        <v>440.62556082894656</v>
      </c>
      <c r="K174" s="275">
        <f t="shared" si="63"/>
        <v>445.54142062101369</v>
      </c>
      <c r="L174" s="275">
        <f t="shared" si="63"/>
        <v>450.45728041308104</v>
      </c>
      <c r="M174" s="275">
        <f t="shared" si="63"/>
        <v>455.37314020514816</v>
      </c>
      <c r="N174" s="275">
        <f t="shared" si="63"/>
        <v>460.28899999721534</v>
      </c>
      <c r="O174" s="275">
        <f t="shared" si="63"/>
        <v>463.34421353032809</v>
      </c>
      <c r="P174" s="275">
        <f t="shared" si="63"/>
        <v>466.39942706344061</v>
      </c>
      <c r="Q174" s="275">
        <f t="shared" si="63"/>
        <v>469.45464059655319</v>
      </c>
      <c r="R174" s="275">
        <f t="shared" si="63"/>
        <v>472.509854129666</v>
      </c>
      <c r="S174" s="275">
        <f t="shared" si="63"/>
        <v>475.56506766277846</v>
      </c>
      <c r="T174" s="275">
        <f t="shared" si="63"/>
        <v>478.62028119589115</v>
      </c>
      <c r="U174" s="275">
        <f t="shared" si="63"/>
        <v>481.6754947290039</v>
      </c>
      <c r="V174" s="275">
        <f t="shared" si="63"/>
        <v>484.73070826211642</v>
      </c>
      <c r="W174" s="275">
        <f t="shared" si="63"/>
        <v>487.78592179522906</v>
      </c>
      <c r="X174" s="275">
        <f t="shared" si="63"/>
        <v>490.84113532834181</v>
      </c>
      <c r="Y174" s="275">
        <f t="shared" si="63"/>
        <v>493.89634886145438</v>
      </c>
      <c r="Z174" s="275">
        <f t="shared" si="63"/>
        <v>496.95156239456708</v>
      </c>
      <c r="AA174" s="275">
        <f t="shared" si="63"/>
        <v>500.0067759276796</v>
      </c>
      <c r="AB174" s="275">
        <f t="shared" si="63"/>
        <v>503.06198946079223</v>
      </c>
      <c r="AC174" s="288">
        <f t="shared" si="63"/>
        <v>506.11720299390493</v>
      </c>
      <c r="AD174" s="369">
        <f t="shared" si="59"/>
        <v>10496.220063642026</v>
      </c>
    </row>
    <row r="175" spans="1:30" s="112" customFormat="1" ht="12">
      <c r="A175" s="58"/>
      <c r="B175" s="58"/>
      <c r="D175" s="328"/>
      <c r="E175" s="236"/>
      <c r="F175" s="275"/>
      <c r="G175" s="275"/>
      <c r="H175" s="275"/>
      <c r="I175" s="275"/>
      <c r="J175" s="275"/>
      <c r="K175" s="275"/>
      <c r="L175" s="275"/>
      <c r="M175" s="275"/>
      <c r="N175" s="275"/>
      <c r="O175" s="275"/>
      <c r="P175" s="275"/>
      <c r="Q175" s="275"/>
      <c r="R175" s="275"/>
      <c r="S175" s="275"/>
      <c r="T175" s="275"/>
      <c r="U175" s="275"/>
      <c r="V175" s="275"/>
      <c r="W175" s="275"/>
      <c r="X175" s="275"/>
      <c r="Y175" s="275"/>
      <c r="Z175" s="275"/>
      <c r="AA175" s="275"/>
      <c r="AB175" s="275"/>
      <c r="AC175" s="288"/>
      <c r="AD175" s="369">
        <f t="shared" si="59"/>
        <v>0</v>
      </c>
    </row>
    <row r="176" spans="1:30" s="5" customFormat="1" ht="12">
      <c r="A176" s="58"/>
      <c r="B176" s="58"/>
      <c r="C176" s="315" t="s">
        <v>537</v>
      </c>
      <c r="D176" s="231"/>
      <c r="E176" s="239"/>
      <c r="F176" s="83">
        <f>F164+F166+F145+F147+F151+F153+F158+F160+F170+F172+F174</f>
        <v>0</v>
      </c>
      <c r="G176" s="83">
        <f t="shared" ref="G176:AC176" si="64">G164+G166+G145+G147+G151+G153+G158+G160+G170+G172+G174</f>
        <v>20202.357268931184</v>
      </c>
      <c r="H176" s="83">
        <f t="shared" si="64"/>
        <v>81742.202876000068</v>
      </c>
      <c r="I176" s="83">
        <f t="shared" si="64"/>
        <v>82674.976676275415</v>
      </c>
      <c r="J176" s="83">
        <f t="shared" si="64"/>
        <v>83607.750476550718</v>
      </c>
      <c r="K176" s="83">
        <f t="shared" si="64"/>
        <v>84540.524276826007</v>
      </c>
      <c r="L176" s="83">
        <f t="shared" si="64"/>
        <v>85473.298077101397</v>
      </c>
      <c r="M176" s="83">
        <f t="shared" si="64"/>
        <v>86406.071877376715</v>
      </c>
      <c r="N176" s="83">
        <f t="shared" si="64"/>
        <v>87338.845677652032</v>
      </c>
      <c r="O176" s="83">
        <f t="shared" si="64"/>
        <v>87918.565860585819</v>
      </c>
      <c r="P176" s="83">
        <f t="shared" si="64"/>
        <v>88498.286043519649</v>
      </c>
      <c r="Q176" s="83">
        <f t="shared" si="64"/>
        <v>89078.006226453421</v>
      </c>
      <c r="R176" s="83">
        <f t="shared" si="64"/>
        <v>89657.726409387222</v>
      </c>
      <c r="S176" s="83">
        <f t="shared" si="64"/>
        <v>90237.446592320994</v>
      </c>
      <c r="T176" s="83">
        <f t="shared" si="64"/>
        <v>90817.16677525478</v>
      </c>
      <c r="U176" s="83">
        <f t="shared" si="64"/>
        <v>91396.886958188581</v>
      </c>
      <c r="V176" s="83">
        <f t="shared" si="64"/>
        <v>91976.607141122397</v>
      </c>
      <c r="W176" s="83">
        <f t="shared" si="64"/>
        <v>92556.327324056183</v>
      </c>
      <c r="X176" s="83">
        <f t="shared" si="64"/>
        <v>93136.047506989969</v>
      </c>
      <c r="Y176" s="83">
        <f t="shared" si="64"/>
        <v>93715.767689923756</v>
      </c>
      <c r="Z176" s="83">
        <f t="shared" si="64"/>
        <v>94295.487872857542</v>
      </c>
      <c r="AA176" s="83">
        <f t="shared" si="64"/>
        <v>94875.208055791343</v>
      </c>
      <c r="AB176" s="83">
        <f t="shared" si="64"/>
        <v>95454.92823872513</v>
      </c>
      <c r="AC176" s="83">
        <f t="shared" si="64"/>
        <v>96034.648421658945</v>
      </c>
      <c r="AD176" s="378">
        <f t="shared" si="59"/>
        <v>1991635.1343235495</v>
      </c>
    </row>
    <row r="177" spans="1:30" s="112" customFormat="1" ht="12">
      <c r="A177" s="109"/>
      <c r="B177" s="58"/>
      <c r="C177" s="110"/>
      <c r="D177" s="227"/>
      <c r="E177" s="235"/>
      <c r="F177" s="111"/>
      <c r="G177" s="111"/>
      <c r="H177" s="111"/>
      <c r="I177" s="111"/>
      <c r="J177" s="111"/>
      <c r="K177" s="111"/>
      <c r="L177" s="111"/>
      <c r="M177" s="111"/>
      <c r="N177" s="111"/>
      <c r="O177" s="111"/>
      <c r="P177" s="111"/>
      <c r="Q177" s="111"/>
      <c r="R177" s="111"/>
      <c r="S177" s="111"/>
      <c r="T177" s="111"/>
      <c r="U177" s="111"/>
      <c r="V177" s="111"/>
      <c r="W177" s="111"/>
      <c r="X177" s="111"/>
      <c r="Y177" s="111"/>
      <c r="Z177" s="111"/>
      <c r="AC177" s="282"/>
      <c r="AD177" s="360">
        <f t="shared" si="59"/>
        <v>0</v>
      </c>
    </row>
    <row r="178" spans="1:30" s="94" customFormat="1" ht="12">
      <c r="A178" s="94" t="s">
        <v>363</v>
      </c>
      <c r="B178" s="58"/>
      <c r="D178" s="230"/>
      <c r="E178" s="241"/>
      <c r="H178" s="93"/>
      <c r="I178" s="93"/>
      <c r="J178" s="93"/>
      <c r="K178" s="93"/>
      <c r="L178" s="93"/>
      <c r="M178" s="93"/>
      <c r="N178" s="93"/>
      <c r="O178" s="93"/>
      <c r="P178" s="93"/>
      <c r="Q178" s="93"/>
      <c r="R178" s="93"/>
      <c r="S178" s="93"/>
      <c r="T178" s="93"/>
      <c r="U178" s="93"/>
      <c r="V178" s="93"/>
      <c r="W178" s="93"/>
      <c r="X178" s="93"/>
      <c r="Y178" s="93"/>
      <c r="AC178" s="293"/>
      <c r="AD178" s="384">
        <f t="shared" si="59"/>
        <v>0</v>
      </c>
    </row>
    <row r="179" spans="1:30" s="94" customFormat="1" ht="12">
      <c r="B179" s="58"/>
      <c r="D179" s="230"/>
      <c r="E179" s="241"/>
      <c r="H179" s="108"/>
      <c r="I179" s="108"/>
      <c r="J179" s="108"/>
      <c r="K179" s="108"/>
      <c r="L179" s="108"/>
      <c r="M179" s="108"/>
      <c r="N179" s="108"/>
      <c r="O179" s="108"/>
      <c r="P179" s="108"/>
      <c r="Q179" s="108"/>
      <c r="R179" s="108"/>
      <c r="S179" s="108"/>
      <c r="T179" s="108"/>
      <c r="U179" s="108"/>
      <c r="V179" s="108"/>
      <c r="W179" s="108"/>
      <c r="X179" s="108"/>
      <c r="Y179" s="108"/>
      <c r="AC179" s="293"/>
      <c r="AD179" s="384">
        <f t="shared" si="59"/>
        <v>0</v>
      </c>
    </row>
    <row r="180" spans="1:30" s="112" customFormat="1" ht="12">
      <c r="A180" s="92"/>
      <c r="B180" s="58"/>
      <c r="C180" s="311" t="s">
        <v>519</v>
      </c>
      <c r="D180" s="230"/>
      <c r="E180" s="310" t="s">
        <v>605</v>
      </c>
      <c r="F180" s="275">
        <f t="shared" ref="F180:AC180" si="65">F5+F6+F39+F51+F58+F65+F78+F85+F102+F115+F176+F118+F133+F138</f>
        <v>-37500</v>
      </c>
      <c r="G180" s="275">
        <f t="shared" si="65"/>
        <v>-609077.10577430658</v>
      </c>
      <c r="H180" s="275">
        <f t="shared" si="65"/>
        <v>257008.16942494971</v>
      </c>
      <c r="I180" s="275">
        <f t="shared" si="65"/>
        <v>259324.38877159476</v>
      </c>
      <c r="J180" s="275">
        <f t="shared" si="65"/>
        <v>261760.53978869575</v>
      </c>
      <c r="K180" s="275">
        <f t="shared" si="65"/>
        <v>264110.2321192887</v>
      </c>
      <c r="L180" s="275">
        <f t="shared" si="65"/>
        <v>266416.66555054247</v>
      </c>
      <c r="M180" s="275">
        <f t="shared" si="65"/>
        <v>268721.29893386911</v>
      </c>
      <c r="N180" s="275">
        <f t="shared" si="65"/>
        <v>271023.90534497204</v>
      </c>
      <c r="O180" s="275">
        <f t="shared" si="65"/>
        <v>272447.41815844085</v>
      </c>
      <c r="P180" s="275">
        <f t="shared" si="65"/>
        <v>274351.16088285722</v>
      </c>
      <c r="Q180" s="275">
        <f t="shared" si="65"/>
        <v>276257.95602578536</v>
      </c>
      <c r="R180" s="275">
        <f t="shared" si="65"/>
        <v>278167.85294556862</v>
      </c>
      <c r="S180" s="275">
        <f t="shared" si="65"/>
        <v>280080.90170418203</v>
      </c>
      <c r="T180" s="275">
        <f t="shared" si="65"/>
        <v>281997.15307987196</v>
      </c>
      <c r="U180" s="275">
        <f t="shared" si="65"/>
        <v>283916.65858006786</v>
      </c>
      <c r="V180" s="275">
        <f t="shared" si="65"/>
        <v>285839.4704545748</v>
      </c>
      <c r="W180" s="275">
        <f t="shared" si="65"/>
        <v>287765.64170905337</v>
      </c>
      <c r="X180" s="275">
        <f t="shared" si="65"/>
        <v>289695.22611879423</v>
      </c>
      <c r="Y180" s="275">
        <f t="shared" si="65"/>
        <v>291628.27824279451</v>
      </c>
      <c r="Z180" s="275">
        <f t="shared" si="65"/>
        <v>293687.74295691878</v>
      </c>
      <c r="AA180" s="275">
        <f t="shared" si="65"/>
        <v>295752.30090425222</v>
      </c>
      <c r="AB180" s="275">
        <f t="shared" si="65"/>
        <v>297822.00941488432</v>
      </c>
      <c r="AC180" s="288">
        <f t="shared" si="65"/>
        <v>299896.92666652112</v>
      </c>
      <c r="AD180" s="369">
        <f t="shared" si="59"/>
        <v>5491094.7920041736</v>
      </c>
    </row>
    <row r="181" spans="1:30" s="94" customFormat="1" ht="12">
      <c r="A181" s="92"/>
      <c r="B181" s="58"/>
      <c r="C181" s="70" t="s">
        <v>182</v>
      </c>
      <c r="D181" s="230"/>
      <c r="E181" s="237"/>
      <c r="F181" s="108">
        <f>1/1.03</f>
        <v>0.970873786407767</v>
      </c>
      <c r="G181" s="108">
        <f>F181/1.03</f>
        <v>0.94259590913375435</v>
      </c>
      <c r="H181" s="108">
        <f t="shared" ref="H181:AC181" si="66">G181/1.03</f>
        <v>0.9151416593531595</v>
      </c>
      <c r="I181" s="108">
        <f t="shared" si="66"/>
        <v>0.88848704791568878</v>
      </c>
      <c r="J181" s="108">
        <f t="shared" si="66"/>
        <v>0.86260878438416388</v>
      </c>
      <c r="K181" s="108">
        <f t="shared" si="66"/>
        <v>0.83748425668365423</v>
      </c>
      <c r="L181" s="108">
        <f t="shared" si="66"/>
        <v>0.81309151134335356</v>
      </c>
      <c r="M181" s="108">
        <f t="shared" si="66"/>
        <v>0.7894092343139355</v>
      </c>
      <c r="N181" s="108">
        <f t="shared" si="66"/>
        <v>0.76641673234362673</v>
      </c>
      <c r="O181" s="108">
        <f t="shared" si="66"/>
        <v>0.74409391489672494</v>
      </c>
      <c r="P181" s="108">
        <f t="shared" si="66"/>
        <v>0.7224212765987621</v>
      </c>
      <c r="Q181" s="108">
        <f t="shared" si="66"/>
        <v>0.70137988019297293</v>
      </c>
      <c r="R181" s="108">
        <f t="shared" si="66"/>
        <v>0.68095133999317758</v>
      </c>
      <c r="S181" s="108">
        <f t="shared" si="66"/>
        <v>0.66111780581861901</v>
      </c>
      <c r="T181" s="108">
        <f t="shared" si="66"/>
        <v>0.64186194739671742</v>
      </c>
      <c r="U181" s="108">
        <f t="shared" si="66"/>
        <v>0.62316693922011401</v>
      </c>
      <c r="V181" s="108">
        <f t="shared" si="66"/>
        <v>0.60501644584477088</v>
      </c>
      <c r="W181" s="108">
        <f t="shared" si="66"/>
        <v>0.58739460761628237</v>
      </c>
      <c r="X181" s="108">
        <f t="shared" si="66"/>
        <v>0.57028602681192464</v>
      </c>
      <c r="Y181" s="108">
        <f t="shared" si="66"/>
        <v>0.55367575418633463</v>
      </c>
      <c r="Z181" s="108">
        <f t="shared" si="66"/>
        <v>0.53754927590906276</v>
      </c>
      <c r="AA181" s="108">
        <f t="shared" si="66"/>
        <v>0.52189250088258521</v>
      </c>
      <c r="AB181" s="108">
        <f t="shared" si="66"/>
        <v>0.50669174842969433</v>
      </c>
      <c r="AC181" s="294">
        <f t="shared" si="66"/>
        <v>0.49193373633950904</v>
      </c>
      <c r="AD181" s="385"/>
    </row>
    <row r="182" spans="1:30" s="112" customFormat="1" ht="12">
      <c r="A182" s="109"/>
      <c r="B182" s="58"/>
      <c r="C182" s="110" t="s">
        <v>180</v>
      </c>
      <c r="D182" s="227"/>
      <c r="E182" s="235">
        <f>SUM(F182:AC182)</f>
        <v>3545041.8897260614</v>
      </c>
      <c r="F182" s="111">
        <f>F180*F181</f>
        <v>-36407.76699029126</v>
      </c>
      <c r="G182" s="111">
        <f t="shared" ref="G182:AC182" si="67">G180*G181</f>
        <v>-574113.58824988839</v>
      </c>
      <c r="H182" s="111">
        <f t="shared" si="67"/>
        <v>235198.88263486643</v>
      </c>
      <c r="I182" s="111">
        <f t="shared" si="67"/>
        <v>230406.36063221461</v>
      </c>
      <c r="J182" s="111">
        <f t="shared" si="67"/>
        <v>225796.9410268694</v>
      </c>
      <c r="K182" s="111">
        <f t="shared" si="67"/>
        <v>221188.16142896988</v>
      </c>
      <c r="L182" s="111">
        <f t="shared" si="67"/>
        <v>216621.12923954733</v>
      </c>
      <c r="M182" s="111">
        <f t="shared" si="67"/>
        <v>212131.07483523179</v>
      </c>
      <c r="N182" s="111">
        <f t="shared" si="67"/>
        <v>207717.25592150187</v>
      </c>
      <c r="O182" s="111">
        <f t="shared" si="67"/>
        <v>202726.46598101931</v>
      </c>
      <c r="P182" s="111">
        <f t="shared" si="67"/>
        <v>198197.11588134608</v>
      </c>
      <c r="Q182" s="111">
        <f t="shared" si="67"/>
        <v>193761.77209972093</v>
      </c>
      <c r="R182" s="111">
        <f t="shared" si="67"/>
        <v>189418.77220631012</v>
      </c>
      <c r="S182" s="111">
        <f t="shared" si="67"/>
        <v>185166.47118636913</v>
      </c>
      <c r="T182" s="111">
        <f t="shared" si="67"/>
        <v>181003.24183617684</v>
      </c>
      <c r="U182" s="111">
        <f t="shared" si="67"/>
        <v>176927.47512094301</v>
      </c>
      <c r="V182" s="111">
        <f t="shared" si="67"/>
        <v>172937.58049657824</v>
      </c>
      <c r="W182" s="111">
        <f t="shared" si="67"/>
        <v>169031.9861971371</v>
      </c>
      <c r="X182" s="111">
        <f t="shared" si="67"/>
        <v>165209.13948966927</v>
      </c>
      <c r="Y182" s="111">
        <f t="shared" si="67"/>
        <v>161467.5068981415</v>
      </c>
      <c r="Z182" s="111">
        <f t="shared" si="67"/>
        <v>157871.63356985865</v>
      </c>
      <c r="AA182" s="111">
        <f t="shared" si="67"/>
        <v>154350.90796069906</v>
      </c>
      <c r="AB182" s="111">
        <f t="shared" si="67"/>
        <v>150903.95467127263</v>
      </c>
      <c r="AC182" s="416">
        <f t="shared" si="67"/>
        <v>147529.41565179749</v>
      </c>
      <c r="AD182" s="386">
        <f t="shared" si="59"/>
        <v>3545041.8897260614</v>
      </c>
    </row>
    <row r="183" spans="1:30" s="112" customFormat="1" ht="12">
      <c r="A183" s="92"/>
      <c r="B183" s="58"/>
      <c r="C183" s="70" t="s">
        <v>183</v>
      </c>
      <c r="D183" s="230"/>
      <c r="E183" s="237"/>
      <c r="F183" s="108">
        <f>1/1.07</f>
        <v>0.93457943925233644</v>
      </c>
      <c r="G183" s="108">
        <f>F183/1.07</f>
        <v>0.87343872827321156</v>
      </c>
      <c r="H183" s="108">
        <f t="shared" ref="H183:AC183" si="68">G183/1.07</f>
        <v>0.81629787689085187</v>
      </c>
      <c r="I183" s="108">
        <f t="shared" si="68"/>
        <v>0.76289521204752508</v>
      </c>
      <c r="J183" s="108">
        <f t="shared" si="68"/>
        <v>0.71298617948366827</v>
      </c>
      <c r="K183" s="108">
        <f t="shared" si="68"/>
        <v>0.66634222381651231</v>
      </c>
      <c r="L183" s="108">
        <f t="shared" si="68"/>
        <v>0.62274974188459087</v>
      </c>
      <c r="M183" s="108">
        <f t="shared" si="68"/>
        <v>0.58200910456503818</v>
      </c>
      <c r="N183" s="108">
        <f t="shared" si="68"/>
        <v>0.54393374258414784</v>
      </c>
      <c r="O183" s="108">
        <f t="shared" si="68"/>
        <v>0.50834929213471758</v>
      </c>
      <c r="P183" s="108">
        <f t="shared" si="68"/>
        <v>0.4750927963875865</v>
      </c>
      <c r="Q183" s="108">
        <f t="shared" si="68"/>
        <v>0.444011959240735</v>
      </c>
      <c r="R183" s="108">
        <f t="shared" si="68"/>
        <v>0.41496444788853737</v>
      </c>
      <c r="S183" s="108">
        <f t="shared" si="68"/>
        <v>0.38781724101732462</v>
      </c>
      <c r="T183" s="108">
        <f t="shared" si="68"/>
        <v>0.36244601964235945</v>
      </c>
      <c r="U183" s="108">
        <f t="shared" si="68"/>
        <v>0.33873459779659759</v>
      </c>
      <c r="V183" s="108">
        <f t="shared" si="68"/>
        <v>0.3165743904641099</v>
      </c>
      <c r="W183" s="108">
        <f t="shared" si="68"/>
        <v>0.29586391632159803</v>
      </c>
      <c r="X183" s="108">
        <f t="shared" si="68"/>
        <v>0.27650833301083927</v>
      </c>
      <c r="Y183" s="108">
        <f t="shared" si="68"/>
        <v>0.25841900281386848</v>
      </c>
      <c r="Z183" s="108">
        <f t="shared" si="68"/>
        <v>0.24151308674193314</v>
      </c>
      <c r="AA183" s="108">
        <f t="shared" si="68"/>
        <v>0.22571316517937676</v>
      </c>
      <c r="AB183" s="108">
        <f t="shared" si="68"/>
        <v>0.21094688334521192</v>
      </c>
      <c r="AC183" s="294">
        <f t="shared" si="68"/>
        <v>0.19714661994879618</v>
      </c>
      <c r="AD183" s="385"/>
    </row>
    <row r="184" spans="1:30" s="112" customFormat="1" ht="12">
      <c r="A184" s="109"/>
      <c r="B184" s="58"/>
      <c r="C184" s="110" t="s">
        <v>181</v>
      </c>
      <c r="D184" s="227"/>
      <c r="E184" s="235">
        <f>SUM(F184:AC184)</f>
        <v>2077602.8737674055</v>
      </c>
      <c r="F184" s="111">
        <f>F180*F183</f>
        <v>-35046.728971962613</v>
      </c>
      <c r="G184" s="111">
        <f t="shared" ref="G184:AC184" si="69">G180*G183</f>
        <v>-531991.53268783865</v>
      </c>
      <c r="H184" s="111">
        <f t="shared" si="69"/>
        <v>209795.2230451908</v>
      </c>
      <c r="I184" s="111">
        <f t="shared" si="69"/>
        <v>197837.33456100061</v>
      </c>
      <c r="J184" s="111">
        <f t="shared" si="69"/>
        <v>186631.64720352492</v>
      </c>
      <c r="K184" s="111">
        <f t="shared" si="69"/>
        <v>175987.79940306209</v>
      </c>
      <c r="L184" s="111">
        <f t="shared" si="69"/>
        <v>165910.9097053537</v>
      </c>
      <c r="M184" s="111">
        <f t="shared" si="69"/>
        <v>156398.24257005512</v>
      </c>
      <c r="N184" s="111">
        <f t="shared" si="69"/>
        <v>147419.04716406247</v>
      </c>
      <c r="O184" s="111">
        <f t="shared" si="69"/>
        <v>138498.45216477482</v>
      </c>
      <c r="P184" s="111">
        <f t="shared" si="69"/>
        <v>130342.26021601727</v>
      </c>
      <c r="Q184" s="111">
        <f t="shared" si="69"/>
        <v>122661.83631084977</v>
      </c>
      <c r="R184" s="111">
        <f t="shared" si="69"/>
        <v>115429.76951789773</v>
      </c>
      <c r="S184" s="111">
        <f t="shared" si="69"/>
        <v>108620.20256056037</v>
      </c>
      <c r="T184" s="111">
        <f t="shared" si="69"/>
        <v>102208.74568427671</v>
      </c>
      <c r="U184" s="111">
        <f t="shared" si="69"/>
        <v>96172.395151873206</v>
      </c>
      <c r="V184" s="111">
        <f t="shared" si="69"/>
        <v>90489.456129740967</v>
      </c>
      <c r="W184" s="111">
        <f t="shared" si="69"/>
        <v>85139.469738838321</v>
      </c>
      <c r="X184" s="111">
        <f t="shared" si="69"/>
        <v>80103.144055305936</v>
      </c>
      <c r="Y184" s="111">
        <f t="shared" si="69"/>
        <v>75362.28885582833</v>
      </c>
      <c r="Z184" s="111">
        <f t="shared" si="69"/>
        <v>70929.433339796888</v>
      </c>
      <c r="AA184" s="111">
        <f t="shared" si="69"/>
        <v>66755.187946182225</v>
      </c>
      <c r="AB184" s="111">
        <f t="shared" si="69"/>
        <v>62824.624677678206</v>
      </c>
      <c r="AC184" s="416">
        <f t="shared" si="69"/>
        <v>59123.665425336636</v>
      </c>
      <c r="AD184" s="386">
        <f t="shared" si="59"/>
        <v>2077602.8737674055</v>
      </c>
    </row>
    <row r="185" spans="1:30" s="53" customFormat="1" ht="12">
      <c r="A185" s="109"/>
      <c r="B185" s="58"/>
      <c r="C185" s="110"/>
      <c r="D185" s="227"/>
      <c r="E185" s="235"/>
      <c r="F185" s="111"/>
      <c r="G185" s="111"/>
      <c r="AC185" s="283"/>
      <c r="AD185" s="361">
        <f t="shared" si="59"/>
        <v>0</v>
      </c>
    </row>
    <row r="186" spans="1:30" s="53" customFormat="1" ht="12">
      <c r="A186" s="45"/>
      <c r="B186" s="58"/>
      <c r="C186" s="302" t="s">
        <v>187</v>
      </c>
      <c r="D186" s="232"/>
      <c r="E186" s="323">
        <f>IRR(F180:AC180)</f>
        <v>0.39689629058614762</v>
      </c>
      <c r="F186" s="45"/>
      <c r="G186" s="57"/>
      <c r="AC186" s="283"/>
      <c r="AD186" s="361"/>
    </row>
    <row r="187" spans="1:30" s="115" customFormat="1" ht="12">
      <c r="A187" s="113"/>
      <c r="B187" s="58"/>
      <c r="C187" s="117"/>
      <c r="D187" s="119"/>
      <c r="E187" s="113"/>
      <c r="F187" s="114"/>
      <c r="G187" s="114"/>
      <c r="H187" s="114"/>
      <c r="I187" s="114"/>
      <c r="J187" s="114"/>
      <c r="K187" s="114"/>
      <c r="L187" s="114"/>
      <c r="M187" s="114"/>
      <c r="N187" s="114"/>
      <c r="O187" s="114"/>
      <c r="P187" s="114"/>
      <c r="Q187" s="114"/>
      <c r="R187" s="114"/>
      <c r="S187" s="114"/>
      <c r="T187" s="114"/>
      <c r="U187" s="114"/>
      <c r="V187" s="114"/>
      <c r="W187" s="114"/>
      <c r="X187" s="114"/>
      <c r="Y187" s="114"/>
      <c r="AC187" s="295"/>
      <c r="AD187" s="387"/>
    </row>
    <row r="188" spans="1:30" s="115" customFormat="1" ht="12">
      <c r="A188" s="113"/>
      <c r="B188" s="58"/>
      <c r="C188" s="120"/>
      <c r="D188" s="119"/>
      <c r="E188" s="113"/>
      <c r="F188" s="113"/>
      <c r="G188" s="116"/>
      <c r="AC188" s="295"/>
      <c r="AD188" s="387"/>
    </row>
    <row r="189" spans="1:30" s="115" customFormat="1" ht="12">
      <c r="A189" s="113"/>
      <c r="B189" s="113"/>
      <c r="C189" s="117"/>
      <c r="D189" s="121"/>
      <c r="E189" s="122"/>
      <c r="F189" s="122"/>
      <c r="G189" s="118"/>
      <c r="H189" s="118"/>
      <c r="I189" s="118"/>
      <c r="J189" s="118"/>
      <c r="K189" s="118"/>
      <c r="L189" s="118"/>
      <c r="M189" s="118"/>
      <c r="N189" s="118"/>
      <c r="O189" s="118"/>
      <c r="P189" s="118"/>
      <c r="Q189" s="118"/>
      <c r="R189" s="118"/>
      <c r="S189" s="118"/>
      <c r="T189" s="118"/>
      <c r="U189" s="118"/>
      <c r="V189" s="118"/>
      <c r="W189" s="118"/>
      <c r="X189" s="118"/>
      <c r="Y189" s="118"/>
      <c r="AC189" s="295"/>
      <c r="AD189" s="387"/>
    </row>
    <row r="190" spans="1:30">
      <c r="A190" s="25"/>
      <c r="B190" s="25"/>
      <c r="C190" s="52"/>
      <c r="D190" s="42"/>
      <c r="E190" s="42"/>
      <c r="F190" s="42"/>
    </row>
    <row r="191" spans="1:30">
      <c r="A191" s="25"/>
      <c r="B191" s="25"/>
      <c r="C191" s="52"/>
      <c r="D191" s="42"/>
      <c r="E191" s="42"/>
      <c r="F191" s="42"/>
    </row>
    <row r="192" spans="1:30">
      <c r="A192" s="25"/>
      <c r="B192" s="25"/>
      <c r="C192" s="52"/>
      <c r="D192" s="42"/>
      <c r="E192" s="42"/>
      <c r="F192" s="42"/>
    </row>
    <row r="193" spans="1:53" ht="15.75">
      <c r="A193" s="25"/>
      <c r="B193" s="25"/>
      <c r="C193" s="425" t="s">
        <v>1</v>
      </c>
      <c r="D193" s="442">
        <f>SUM(D194:D197)</f>
        <v>1443.7359290701133</v>
      </c>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row>
    <row r="194" spans="1:53" ht="15.75">
      <c r="A194" s="25"/>
      <c r="B194" s="25"/>
      <c r="C194" s="427" t="s">
        <v>199</v>
      </c>
      <c r="D194" s="440">
        <f>-SUM(F194:AC194)/1000</f>
        <v>710.25</v>
      </c>
      <c r="F194" s="446">
        <f>F6</f>
        <v>-37500</v>
      </c>
      <c r="G194" s="446">
        <f t="shared" ref="G194:AC194" si="70">G6</f>
        <v>-672750</v>
      </c>
      <c r="H194" s="446">
        <f t="shared" si="70"/>
        <v>0</v>
      </c>
      <c r="I194" s="446">
        <f t="shared" si="70"/>
        <v>0</v>
      </c>
      <c r="J194" s="446">
        <f t="shared" si="70"/>
        <v>0</v>
      </c>
      <c r="K194" s="446">
        <f t="shared" si="70"/>
        <v>0</v>
      </c>
      <c r="L194" s="446">
        <f t="shared" si="70"/>
        <v>0</v>
      </c>
      <c r="M194" s="446">
        <f t="shared" si="70"/>
        <v>0</v>
      </c>
      <c r="N194" s="446">
        <f t="shared" si="70"/>
        <v>0</v>
      </c>
      <c r="O194" s="446">
        <f t="shared" si="70"/>
        <v>0</v>
      </c>
      <c r="P194" s="446">
        <f t="shared" si="70"/>
        <v>0</v>
      </c>
      <c r="Q194" s="446">
        <f t="shared" si="70"/>
        <v>0</v>
      </c>
      <c r="R194" s="446">
        <f t="shared" si="70"/>
        <v>0</v>
      </c>
      <c r="S194" s="446">
        <f t="shared" si="70"/>
        <v>0</v>
      </c>
      <c r="T194" s="446">
        <f t="shared" si="70"/>
        <v>0</v>
      </c>
      <c r="U194" s="446">
        <f t="shared" si="70"/>
        <v>0</v>
      </c>
      <c r="V194" s="446">
        <f t="shared" si="70"/>
        <v>0</v>
      </c>
      <c r="W194" s="446">
        <f t="shared" si="70"/>
        <v>0</v>
      </c>
      <c r="X194" s="446">
        <f t="shared" si="70"/>
        <v>0</v>
      </c>
      <c r="Y194" s="446">
        <f t="shared" si="70"/>
        <v>0</v>
      </c>
      <c r="Z194" s="446">
        <f t="shared" si="70"/>
        <v>0</v>
      </c>
      <c r="AA194" s="446">
        <f t="shared" si="70"/>
        <v>0</v>
      </c>
      <c r="AB194" s="446">
        <f t="shared" si="70"/>
        <v>0</v>
      </c>
      <c r="AC194" s="446">
        <f t="shared" si="70"/>
        <v>0</v>
      </c>
    </row>
    <row r="195" spans="1:53" ht="15.75">
      <c r="A195" s="25"/>
      <c r="B195" s="25"/>
      <c r="C195" s="427" t="s">
        <v>200</v>
      </c>
      <c r="D195" s="440">
        <f>-SUM(F195:AC195)/1000</f>
        <v>0</v>
      </c>
      <c r="E195" s="42"/>
      <c r="F195" s="446">
        <f>F5</f>
        <v>0</v>
      </c>
      <c r="G195" s="446">
        <f t="shared" ref="G195:AC195" si="71">G5</f>
        <v>0</v>
      </c>
      <c r="H195" s="446">
        <f t="shared" si="71"/>
        <v>0</v>
      </c>
      <c r="I195" s="446">
        <f t="shared" si="71"/>
        <v>0</v>
      </c>
      <c r="J195" s="446">
        <f t="shared" si="71"/>
        <v>0</v>
      </c>
      <c r="K195" s="446">
        <f t="shared" si="71"/>
        <v>0</v>
      </c>
      <c r="L195" s="446">
        <f t="shared" si="71"/>
        <v>0</v>
      </c>
      <c r="M195" s="446">
        <f t="shared" si="71"/>
        <v>0</v>
      </c>
      <c r="N195" s="446">
        <f t="shared" si="71"/>
        <v>0</v>
      </c>
      <c r="O195" s="446">
        <f t="shared" si="71"/>
        <v>0</v>
      </c>
      <c r="P195" s="446">
        <f t="shared" si="71"/>
        <v>0</v>
      </c>
      <c r="Q195" s="446">
        <f t="shared" si="71"/>
        <v>0</v>
      </c>
      <c r="R195" s="446">
        <f t="shared" si="71"/>
        <v>0</v>
      </c>
      <c r="S195" s="446">
        <f t="shared" si="71"/>
        <v>0</v>
      </c>
      <c r="T195" s="446">
        <f t="shared" si="71"/>
        <v>0</v>
      </c>
      <c r="U195" s="446">
        <f t="shared" si="71"/>
        <v>0</v>
      </c>
      <c r="V195" s="446">
        <f t="shared" si="71"/>
        <v>0</v>
      </c>
      <c r="W195" s="446">
        <f t="shared" si="71"/>
        <v>0</v>
      </c>
      <c r="X195" s="446">
        <f t="shared" si="71"/>
        <v>0</v>
      </c>
      <c r="Y195" s="446">
        <f t="shared" si="71"/>
        <v>0</v>
      </c>
      <c r="Z195" s="446">
        <f t="shared" si="71"/>
        <v>0</v>
      </c>
      <c r="AA195" s="446">
        <f t="shared" si="71"/>
        <v>0</v>
      </c>
      <c r="AB195" s="446">
        <f t="shared" si="71"/>
        <v>0</v>
      </c>
      <c r="AC195" s="446">
        <f t="shared" si="71"/>
        <v>0</v>
      </c>
    </row>
    <row r="196" spans="1:53" ht="15.75">
      <c r="A196" s="25"/>
      <c r="B196" s="25"/>
      <c r="C196" s="428" t="s">
        <v>563</v>
      </c>
      <c r="D196" s="440">
        <f>-SUM(F196:AC196)/1000</f>
        <v>0</v>
      </c>
      <c r="E196" s="42"/>
      <c r="F196" s="446">
        <f>F113</f>
        <v>0</v>
      </c>
      <c r="G196" s="446">
        <f t="shared" ref="G196:AC196" si="72">G113</f>
        <v>0</v>
      </c>
      <c r="H196" s="446">
        <f t="shared" si="72"/>
        <v>0</v>
      </c>
      <c r="I196" s="446">
        <f t="shared" si="72"/>
        <v>0</v>
      </c>
      <c r="J196" s="446">
        <f t="shared" si="72"/>
        <v>0</v>
      </c>
      <c r="K196" s="446">
        <f t="shared" si="72"/>
        <v>0</v>
      </c>
      <c r="L196" s="446">
        <f t="shared" si="72"/>
        <v>0</v>
      </c>
      <c r="M196" s="446">
        <f t="shared" si="72"/>
        <v>0</v>
      </c>
      <c r="N196" s="446">
        <f t="shared" si="72"/>
        <v>0</v>
      </c>
      <c r="O196" s="446">
        <f t="shared" si="72"/>
        <v>0</v>
      </c>
      <c r="P196" s="446">
        <f t="shared" si="72"/>
        <v>0</v>
      </c>
      <c r="Q196" s="446">
        <f t="shared" si="72"/>
        <v>0</v>
      </c>
      <c r="R196" s="446">
        <f t="shared" si="72"/>
        <v>0</v>
      </c>
      <c r="S196" s="446">
        <f t="shared" si="72"/>
        <v>0</v>
      </c>
      <c r="T196" s="446">
        <f t="shared" si="72"/>
        <v>0</v>
      </c>
      <c r="U196" s="446">
        <f t="shared" si="72"/>
        <v>0</v>
      </c>
      <c r="V196" s="446">
        <f t="shared" si="72"/>
        <v>0</v>
      </c>
      <c r="W196" s="446">
        <f t="shared" si="72"/>
        <v>0</v>
      </c>
      <c r="X196" s="446">
        <f t="shared" si="72"/>
        <v>0</v>
      </c>
      <c r="Y196" s="446">
        <f t="shared" si="72"/>
        <v>0</v>
      </c>
      <c r="Z196" s="446">
        <f t="shared" si="72"/>
        <v>0</v>
      </c>
      <c r="AA196" s="446">
        <f t="shared" si="72"/>
        <v>0</v>
      </c>
      <c r="AB196" s="446">
        <f t="shared" si="72"/>
        <v>0</v>
      </c>
      <c r="AC196" s="446">
        <f t="shared" si="72"/>
        <v>0</v>
      </c>
    </row>
    <row r="197" spans="1:53" ht="15.75">
      <c r="A197" s="25"/>
      <c r="B197" s="25"/>
      <c r="C197" s="427" t="s">
        <v>201</v>
      </c>
      <c r="D197" s="440">
        <f>-SUM(F197:AC197)/1000</f>
        <v>733.48592907011346</v>
      </c>
      <c r="E197" s="43"/>
      <c r="F197" s="446">
        <f>F145+F147+F158+F160</f>
        <v>0</v>
      </c>
      <c r="G197" s="446">
        <f t="shared" ref="G197:AC197" si="73">G145+G147+G158+G160</f>
        <v>-7440.1904924424189</v>
      </c>
      <c r="H197" s="446">
        <f t="shared" si="73"/>
        <v>-30104.28696875981</v>
      </c>
      <c r="I197" s="446">
        <f t="shared" si="73"/>
        <v>-30447.811967749934</v>
      </c>
      <c r="J197" s="446">
        <f t="shared" si="73"/>
        <v>-30791.336966740069</v>
      </c>
      <c r="K197" s="446">
        <f t="shared" si="73"/>
        <v>-31134.861965730204</v>
      </c>
      <c r="L197" s="446">
        <f t="shared" si="73"/>
        <v>-31478.386964720343</v>
      </c>
      <c r="M197" s="446">
        <f t="shared" si="73"/>
        <v>-31821.911963710467</v>
      </c>
      <c r="N197" s="446">
        <f t="shared" si="73"/>
        <v>-32165.436962700602</v>
      </c>
      <c r="O197" s="446">
        <f t="shared" si="73"/>
        <v>-32378.938215842689</v>
      </c>
      <c r="P197" s="446">
        <f t="shared" si="73"/>
        <v>-32592.439468984776</v>
      </c>
      <c r="Q197" s="446">
        <f t="shared" si="73"/>
        <v>-32805.94072212687</v>
      </c>
      <c r="R197" s="446">
        <f t="shared" si="73"/>
        <v>-33019.441975268957</v>
      </c>
      <c r="S197" s="446">
        <f t="shared" si="73"/>
        <v>-33232.943228411037</v>
      </c>
      <c r="T197" s="446">
        <f t="shared" si="73"/>
        <v>-33446.444481553131</v>
      </c>
      <c r="U197" s="446">
        <f t="shared" si="73"/>
        <v>-33659.945734695219</v>
      </c>
      <c r="V197" s="446">
        <f t="shared" si="73"/>
        <v>-33873.446987837313</v>
      </c>
      <c r="W197" s="446">
        <f t="shared" si="73"/>
        <v>-34086.9482409794</v>
      </c>
      <c r="X197" s="446">
        <f t="shared" si="73"/>
        <v>-34300.449494121494</v>
      </c>
      <c r="Y197" s="446">
        <f t="shared" si="73"/>
        <v>-34513.950747263574</v>
      </c>
      <c r="Z197" s="446">
        <f t="shared" si="73"/>
        <v>-34727.452000405661</v>
      </c>
      <c r="AA197" s="446">
        <f t="shared" si="73"/>
        <v>-34940.953253547748</v>
      </c>
      <c r="AB197" s="446">
        <f t="shared" si="73"/>
        <v>-35154.454506689843</v>
      </c>
      <c r="AC197" s="446">
        <f t="shared" si="73"/>
        <v>-35367.95575983193</v>
      </c>
    </row>
    <row r="198" spans="1:53" ht="15.75">
      <c r="A198" s="25"/>
      <c r="B198" s="25"/>
      <c r="C198" s="426"/>
      <c r="D198" s="441"/>
      <c r="F198" s="438">
        <f>SUM(F194:F197)</f>
        <v>-37500</v>
      </c>
      <c r="G198" s="438">
        <f t="shared" ref="G198:AC198" si="74">SUM(G194:G197)</f>
        <v>-680190.19049244246</v>
      </c>
      <c r="H198" s="438">
        <f t="shared" si="74"/>
        <v>-30104.28696875981</v>
      </c>
      <c r="I198" s="438">
        <f t="shared" si="74"/>
        <v>-30447.811967749934</v>
      </c>
      <c r="J198" s="438">
        <f t="shared" si="74"/>
        <v>-30791.336966740069</v>
      </c>
      <c r="K198" s="438">
        <f t="shared" si="74"/>
        <v>-31134.861965730204</v>
      </c>
      <c r="L198" s="438">
        <f t="shared" si="74"/>
        <v>-31478.386964720343</v>
      </c>
      <c r="M198" s="438">
        <f t="shared" si="74"/>
        <v>-31821.911963710467</v>
      </c>
      <c r="N198" s="438">
        <f t="shared" si="74"/>
        <v>-32165.436962700602</v>
      </c>
      <c r="O198" s="438">
        <f t="shared" si="74"/>
        <v>-32378.938215842689</v>
      </c>
      <c r="P198" s="438">
        <f t="shared" si="74"/>
        <v>-32592.439468984776</v>
      </c>
      <c r="Q198" s="438">
        <f t="shared" si="74"/>
        <v>-32805.94072212687</v>
      </c>
      <c r="R198" s="438">
        <f t="shared" si="74"/>
        <v>-33019.441975268957</v>
      </c>
      <c r="S198" s="438">
        <f t="shared" si="74"/>
        <v>-33232.943228411037</v>
      </c>
      <c r="T198" s="438">
        <f t="shared" si="74"/>
        <v>-33446.444481553131</v>
      </c>
      <c r="U198" s="438">
        <f t="shared" si="74"/>
        <v>-33659.945734695219</v>
      </c>
      <c r="V198" s="438">
        <f t="shared" si="74"/>
        <v>-33873.446987837313</v>
      </c>
      <c r="W198" s="438">
        <f t="shared" si="74"/>
        <v>-34086.9482409794</v>
      </c>
      <c r="X198" s="438">
        <f t="shared" si="74"/>
        <v>-34300.449494121494</v>
      </c>
      <c r="Y198" s="438">
        <f t="shared" si="74"/>
        <v>-34513.950747263574</v>
      </c>
      <c r="Z198" s="438">
        <f t="shared" si="74"/>
        <v>-34727.452000405661</v>
      </c>
      <c r="AA198" s="438">
        <f t="shared" si="74"/>
        <v>-34940.953253547748</v>
      </c>
      <c r="AB198" s="438">
        <f t="shared" si="74"/>
        <v>-35154.454506689843</v>
      </c>
      <c r="AC198" s="438">
        <f t="shared" si="74"/>
        <v>-35367.95575983193</v>
      </c>
    </row>
    <row r="199" spans="1:53" s="76" customFormat="1" ht="15.75">
      <c r="A199" s="25"/>
      <c r="B199" s="25"/>
      <c r="C199" s="425" t="s">
        <v>0</v>
      </c>
      <c r="D199" s="442">
        <f>SUM(D200:D206)</f>
        <v>6934.830721074286</v>
      </c>
      <c r="E199" s="25"/>
      <c r="F199" s="25"/>
      <c r="G199" s="25"/>
      <c r="H199" s="25"/>
      <c r="I199" s="25"/>
      <c r="J199" s="25"/>
      <c r="K199" s="25"/>
      <c r="L199" s="25"/>
      <c r="M199" s="25"/>
      <c r="N199" s="25"/>
      <c r="O199" s="25"/>
      <c r="P199" s="25"/>
      <c r="Q199" s="25"/>
      <c r="R199" s="25"/>
      <c r="S199" s="25"/>
      <c r="T199" s="25"/>
      <c r="U199" s="25"/>
      <c r="V199" s="25"/>
      <c r="W199" s="25"/>
      <c r="X199" s="25"/>
      <c r="Y199" s="25"/>
      <c r="Z199" s="25"/>
      <c r="AA199" s="25"/>
      <c r="AB199" s="25"/>
      <c r="AC199" s="25"/>
      <c r="AD199" s="358"/>
      <c r="AE199"/>
      <c r="AF199"/>
      <c r="AG199"/>
      <c r="AH199"/>
      <c r="AI199"/>
      <c r="AJ199"/>
      <c r="AK199"/>
      <c r="AL199"/>
      <c r="AM199"/>
      <c r="AN199"/>
      <c r="AO199"/>
      <c r="AP199"/>
      <c r="AQ199"/>
      <c r="AR199"/>
      <c r="AS199"/>
      <c r="AT199"/>
      <c r="AU199"/>
      <c r="AV199"/>
      <c r="AW199"/>
      <c r="AX199"/>
      <c r="AY199"/>
      <c r="AZ199"/>
      <c r="BA199"/>
    </row>
    <row r="200" spans="1:53" s="76" customFormat="1" ht="15.75">
      <c r="A200" s="25"/>
      <c r="B200" s="25"/>
      <c r="C200" s="427" t="s">
        <v>599</v>
      </c>
      <c r="D200" s="440">
        <f t="shared" ref="D200:D206" si="75">SUM(F200:AC200)/1000</f>
        <v>1884.8036580975904</v>
      </c>
      <c r="E200" s="25"/>
      <c r="F200" s="447">
        <f>F39+F51+F65+F78</f>
        <v>0</v>
      </c>
      <c r="G200" s="447">
        <f t="shared" ref="G200:AC200" si="76">G39+G51+G65+G78</f>
        <v>18633.741164126837</v>
      </c>
      <c r="H200" s="447">
        <f t="shared" si="76"/>
        <v>75555.142769811559</v>
      </c>
      <c r="I200" s="447">
        <f t="shared" si="76"/>
        <v>76580.084152520314</v>
      </c>
      <c r="J200" s="447">
        <f t="shared" si="76"/>
        <v>77609.838282843673</v>
      </c>
      <c r="K200" s="447">
        <f t="shared" si="76"/>
        <v>78644.455326642332</v>
      </c>
      <c r="L200" s="447">
        <f t="shared" si="76"/>
        <v>79683.986149415752</v>
      </c>
      <c r="M200" s="447">
        <f t="shared" si="76"/>
        <v>80728.482328541504</v>
      </c>
      <c r="N200" s="447">
        <f t="shared" si="76"/>
        <v>81777.996165772711</v>
      </c>
      <c r="O200" s="447">
        <f t="shared" si="76"/>
        <v>82501.281212997899</v>
      </c>
      <c r="P200" s="447">
        <f t="shared" si="76"/>
        <v>83228.231028455106</v>
      </c>
      <c r="Q200" s="447">
        <f t="shared" si="76"/>
        <v>83958.884625308012</v>
      </c>
      <c r="R200" s="447">
        <f t="shared" si="76"/>
        <v>84693.281572443477</v>
      </c>
      <c r="S200" s="447">
        <f t="shared" si="76"/>
        <v>85431.462004401576</v>
      </c>
      <c r="T200" s="447">
        <f t="shared" si="76"/>
        <v>86173.466631519957</v>
      </c>
      <c r="U200" s="447">
        <f t="shared" si="76"/>
        <v>86919.336750296861</v>
      </c>
      <c r="V200" s="447">
        <f t="shared" si="76"/>
        <v>87669.114253978783</v>
      </c>
      <c r="W200" s="447">
        <f t="shared" si="76"/>
        <v>88422.841643378779</v>
      </c>
      <c r="X200" s="447">
        <f t="shared" si="76"/>
        <v>89180.562037930693</v>
      </c>
      <c r="Y200" s="447">
        <f t="shared" si="76"/>
        <v>89942.319186985507</v>
      </c>
      <c r="Z200" s="447">
        <f t="shared" si="76"/>
        <v>90708.157481356742</v>
      </c>
      <c r="AA200" s="447">
        <f t="shared" si="76"/>
        <v>91478.121965119804</v>
      </c>
      <c r="AB200" s="447">
        <f t="shared" si="76"/>
        <v>92252.258347673443</v>
      </c>
      <c r="AC200" s="447">
        <f t="shared" si="76"/>
        <v>93030.613016069401</v>
      </c>
      <c r="AD200" s="358"/>
      <c r="AE200"/>
      <c r="AF200"/>
      <c r="AG200"/>
      <c r="AH200"/>
      <c r="AI200"/>
      <c r="AJ200"/>
      <c r="AK200"/>
      <c r="AL200"/>
      <c r="AM200"/>
      <c r="AN200"/>
      <c r="AO200"/>
      <c r="AP200"/>
      <c r="AQ200"/>
      <c r="AR200"/>
      <c r="AS200"/>
      <c r="AT200"/>
      <c r="AU200"/>
      <c r="AV200"/>
      <c r="AW200"/>
      <c r="AX200"/>
      <c r="AY200"/>
      <c r="AZ200"/>
      <c r="BA200"/>
    </row>
    <row r="201" spans="1:53" s="76" customFormat="1" ht="15.75">
      <c r="A201" s="25"/>
      <c r="B201" s="25"/>
      <c r="C201" s="427" t="s">
        <v>600</v>
      </c>
      <c r="D201" s="440">
        <f t="shared" si="75"/>
        <v>1586.0407018986266</v>
      </c>
      <c r="E201" s="25"/>
      <c r="F201" s="446">
        <f>F58+F85</f>
        <v>0</v>
      </c>
      <c r="G201" s="446">
        <f t="shared" ref="G201:AC201" si="77">G58+G85</f>
        <v>16088.168134122263</v>
      </c>
      <c r="H201" s="446">
        <f t="shared" si="77"/>
        <v>65095.487918385712</v>
      </c>
      <c r="I201" s="446">
        <f t="shared" si="77"/>
        <v>65838.303300282365</v>
      </c>
      <c r="J201" s="446">
        <f t="shared" si="77"/>
        <v>66581.118682179003</v>
      </c>
      <c r="K201" s="446">
        <f t="shared" si="77"/>
        <v>67323.934064075642</v>
      </c>
      <c r="L201" s="446">
        <f t="shared" si="77"/>
        <v>68066.749445972309</v>
      </c>
      <c r="M201" s="446">
        <f t="shared" si="77"/>
        <v>68809.564827868948</v>
      </c>
      <c r="N201" s="446">
        <f t="shared" si="77"/>
        <v>69552.380209765601</v>
      </c>
      <c r="O201" s="446">
        <f t="shared" si="77"/>
        <v>70014.040977844677</v>
      </c>
      <c r="P201" s="446">
        <f t="shared" si="77"/>
        <v>70475.701745923783</v>
      </c>
      <c r="Q201" s="446">
        <f t="shared" si="77"/>
        <v>70937.362514002874</v>
      </c>
      <c r="R201" s="446">
        <f t="shared" si="77"/>
        <v>71399.02328208198</v>
      </c>
      <c r="S201" s="446">
        <f t="shared" si="77"/>
        <v>71860.684050161042</v>
      </c>
      <c r="T201" s="446">
        <f t="shared" si="77"/>
        <v>72322.344818240148</v>
      </c>
      <c r="U201" s="446">
        <f t="shared" si="77"/>
        <v>72784.005586319239</v>
      </c>
      <c r="V201" s="446">
        <f t="shared" si="77"/>
        <v>73245.66635439833</v>
      </c>
      <c r="W201" s="446">
        <f t="shared" si="77"/>
        <v>73707.327122477407</v>
      </c>
      <c r="X201" s="446">
        <f t="shared" si="77"/>
        <v>74168.987890556513</v>
      </c>
      <c r="Y201" s="446">
        <f t="shared" si="77"/>
        <v>74630.64865863559</v>
      </c>
      <c r="Z201" s="446">
        <f t="shared" si="77"/>
        <v>75092.309426714695</v>
      </c>
      <c r="AA201" s="446">
        <f t="shared" si="77"/>
        <v>75553.970194793772</v>
      </c>
      <c r="AB201" s="446">
        <f t="shared" si="77"/>
        <v>76015.630962872878</v>
      </c>
      <c r="AC201" s="446">
        <f t="shared" si="77"/>
        <v>76477.291730951969</v>
      </c>
      <c r="AD201" s="358"/>
      <c r="AE201"/>
      <c r="AF201"/>
      <c r="AG201"/>
      <c r="AH201"/>
      <c r="AI201"/>
      <c r="AJ201"/>
      <c r="AK201"/>
      <c r="AL201"/>
      <c r="AM201"/>
      <c r="AN201"/>
      <c r="AO201"/>
      <c r="AP201"/>
      <c r="AQ201"/>
      <c r="AR201"/>
      <c r="AS201"/>
      <c r="AT201"/>
      <c r="AU201"/>
      <c r="AV201"/>
      <c r="AW201"/>
      <c r="AX201"/>
      <c r="AY201"/>
      <c r="AZ201"/>
      <c r="BA201"/>
    </row>
    <row r="202" spans="1:53" s="76" customFormat="1" ht="15.75">
      <c r="A202" s="25"/>
      <c r="B202" s="25"/>
      <c r="C202" s="427" t="s">
        <v>202</v>
      </c>
      <c r="D202" s="440">
        <f t="shared" si="75"/>
        <v>268.53459414548922</v>
      </c>
      <c r="E202" s="25"/>
      <c r="F202" s="446">
        <f>F102</f>
        <v>0</v>
      </c>
      <c r="G202" s="446">
        <f t="shared" ref="G202:AC202" si="78">G102</f>
        <v>2602.6684790724485</v>
      </c>
      <c r="H202" s="446">
        <f t="shared" si="78"/>
        <v>10570.800539930529</v>
      </c>
      <c r="I202" s="446">
        <f t="shared" si="78"/>
        <v>10732.117980922398</v>
      </c>
      <c r="J202" s="446">
        <f t="shared" si="78"/>
        <v>10894.638608817919</v>
      </c>
      <c r="K202" s="446">
        <f t="shared" si="78"/>
        <v>11058.374965082268</v>
      </c>
      <c r="L202" s="446">
        <f t="shared" si="78"/>
        <v>11223.339766090308</v>
      </c>
      <c r="M202" s="446">
        <f t="shared" si="78"/>
        <v>11389.545906186424</v>
      </c>
      <c r="N202" s="446">
        <f t="shared" si="78"/>
        <v>11557.006460808914</v>
      </c>
      <c r="O202" s="446">
        <f t="shared" si="78"/>
        <v>11678.836116020315</v>
      </c>
      <c r="P202" s="446">
        <f t="shared" si="78"/>
        <v>11801.581963289722</v>
      </c>
      <c r="Q202" s="446">
        <f t="shared" si="78"/>
        <v>11925.253755908063</v>
      </c>
      <c r="R202" s="446">
        <f t="shared" si="78"/>
        <v>12049.861386097033</v>
      </c>
      <c r="S202" s="446">
        <f t="shared" si="78"/>
        <v>12175.414887491666</v>
      </c>
      <c r="T202" s="446">
        <f t="shared" si="78"/>
        <v>12301.924437676378</v>
      </c>
      <c r="U202" s="446">
        <f t="shared" si="78"/>
        <v>12429.400360775704</v>
      </c>
      <c r="V202" s="446">
        <f t="shared" si="78"/>
        <v>12557.853130101294</v>
      </c>
      <c r="W202" s="446">
        <f t="shared" si="78"/>
        <v>12687.293370856401</v>
      </c>
      <c r="X202" s="446">
        <f t="shared" si="78"/>
        <v>12817.73186289948</v>
      </c>
      <c r="Y202" s="446">
        <f t="shared" si="78"/>
        <v>12949.179543568307</v>
      </c>
      <c r="Z202" s="446">
        <f t="shared" si="78"/>
        <v>13081.647510566223</v>
      </c>
      <c r="AA202" s="446">
        <f t="shared" si="78"/>
        <v>13215.147024912087</v>
      </c>
      <c r="AB202" s="446">
        <f t="shared" si="78"/>
        <v>13349.689513955615</v>
      </c>
      <c r="AC202" s="446">
        <f t="shared" si="78"/>
        <v>13485.286574459697</v>
      </c>
      <c r="AD202" s="358"/>
      <c r="AE202"/>
      <c r="AF202"/>
      <c r="AG202"/>
      <c r="AH202"/>
      <c r="AI202"/>
      <c r="AJ202"/>
      <c r="AK202"/>
      <c r="AL202"/>
      <c r="AM202"/>
      <c r="AN202"/>
      <c r="AO202"/>
      <c r="AP202"/>
      <c r="AQ202"/>
      <c r="AR202"/>
      <c r="AS202"/>
      <c r="AT202"/>
      <c r="AU202"/>
      <c r="AV202"/>
      <c r="AW202"/>
      <c r="AX202"/>
      <c r="AY202"/>
      <c r="AZ202"/>
      <c r="BA202"/>
    </row>
    <row r="203" spans="1:53" s="76" customFormat="1" ht="15.75">
      <c r="A203" s="25"/>
      <c r="B203" s="25"/>
      <c r="C203" s="427" t="s">
        <v>203</v>
      </c>
      <c r="D203" s="440">
        <f t="shared" si="75"/>
        <v>92.563629264100271</v>
      </c>
      <c r="E203" s="25"/>
      <c r="F203" s="446">
        <f>F115-F113</f>
        <v>0</v>
      </c>
      <c r="G203" s="446">
        <f t="shared" ref="G203:AC203" si="79">G115-G113</f>
        <v>938.92876073276659</v>
      </c>
      <c r="H203" s="446">
        <f t="shared" si="79"/>
        <v>3799.0668229574208</v>
      </c>
      <c r="I203" s="446">
        <f t="shared" si="79"/>
        <v>3842.4186029837738</v>
      </c>
      <c r="J203" s="446">
        <f t="shared" si="79"/>
        <v>3885.7703830101273</v>
      </c>
      <c r="K203" s="446">
        <f t="shared" si="79"/>
        <v>3929.1221630364794</v>
      </c>
      <c r="L203" s="446">
        <f t="shared" si="79"/>
        <v>3972.4739430628347</v>
      </c>
      <c r="M203" s="446">
        <f t="shared" si="79"/>
        <v>4015.8257230891868</v>
      </c>
      <c r="N203" s="446">
        <f t="shared" si="79"/>
        <v>4059.1775031155403</v>
      </c>
      <c r="O203" s="446">
        <f t="shared" si="79"/>
        <v>4086.1206932436994</v>
      </c>
      <c r="P203" s="446">
        <f t="shared" si="79"/>
        <v>4113.0638833718576</v>
      </c>
      <c r="Q203" s="446">
        <f t="shared" si="79"/>
        <v>4140.0070735000163</v>
      </c>
      <c r="R203" s="446">
        <f t="shared" si="79"/>
        <v>4166.9502636281759</v>
      </c>
      <c r="S203" s="446">
        <f t="shared" si="79"/>
        <v>4193.8934537563327</v>
      </c>
      <c r="T203" s="446">
        <f t="shared" si="79"/>
        <v>4220.8366438844914</v>
      </c>
      <c r="U203" s="446">
        <f t="shared" si="79"/>
        <v>4247.779834012651</v>
      </c>
      <c r="V203" s="446">
        <f t="shared" si="79"/>
        <v>4274.7230241408088</v>
      </c>
      <c r="W203" s="446">
        <f t="shared" si="79"/>
        <v>4301.6662142689675</v>
      </c>
      <c r="X203" s="446">
        <f t="shared" si="79"/>
        <v>4328.609404397127</v>
      </c>
      <c r="Y203" s="446">
        <f t="shared" si="79"/>
        <v>4355.5525945252848</v>
      </c>
      <c r="Z203" s="446">
        <f t="shared" si="79"/>
        <v>4382.4957846534435</v>
      </c>
      <c r="AA203" s="446">
        <f t="shared" si="79"/>
        <v>4409.4389747816012</v>
      </c>
      <c r="AB203" s="446">
        <f t="shared" si="79"/>
        <v>4436.3821649097608</v>
      </c>
      <c r="AC203" s="446">
        <f t="shared" si="79"/>
        <v>4463.3253550379195</v>
      </c>
      <c r="AD203" s="358"/>
      <c r="AE203"/>
      <c r="AF203"/>
      <c r="AG203"/>
      <c r="AH203"/>
      <c r="AI203"/>
      <c r="AJ203"/>
      <c r="AK203"/>
      <c r="AL203"/>
      <c r="AM203"/>
      <c r="AN203"/>
      <c r="AO203"/>
      <c r="AP203"/>
      <c r="AQ203"/>
      <c r="AR203"/>
      <c r="AS203"/>
      <c r="AT203"/>
      <c r="AU203"/>
      <c r="AV203"/>
      <c r="AW203"/>
      <c r="AX203"/>
      <c r="AY203"/>
      <c r="AZ203"/>
      <c r="BA203"/>
    </row>
    <row r="204" spans="1:53" s="76" customFormat="1" ht="15.75">
      <c r="A204" s="25"/>
      <c r="B204" s="36"/>
      <c r="C204" s="427" t="s">
        <v>204</v>
      </c>
      <c r="D204" s="440">
        <f t="shared" si="75"/>
        <v>376.14427185977945</v>
      </c>
      <c r="E204" s="25"/>
      <c r="F204" s="446">
        <f>F133+F118</f>
        <v>0</v>
      </c>
      <c r="G204" s="446">
        <f t="shared" ref="G204:AC204" si="80">G133+G118</f>
        <v>5190.5693543289908</v>
      </c>
      <c r="H204" s="446">
        <f t="shared" si="80"/>
        <v>20178.864207775543</v>
      </c>
      <c r="I204" s="446">
        <f t="shared" si="80"/>
        <v>19589.123735948549</v>
      </c>
      <c r="J204" s="446">
        <f t="shared" si="80"/>
        <v>19113.299000059313</v>
      </c>
      <c r="K204" s="446">
        <f t="shared" si="80"/>
        <v>18544.936935817874</v>
      </c>
      <c r="L204" s="446">
        <f t="shared" si="80"/>
        <v>17927.173748518748</v>
      </c>
      <c r="M204" s="446">
        <f t="shared" si="80"/>
        <v>17301.403817852079</v>
      </c>
      <c r="N204" s="446">
        <f t="shared" si="80"/>
        <v>16667.334842329954</v>
      </c>
      <c r="O204" s="446">
        <f t="shared" si="80"/>
        <v>16176.936450945333</v>
      </c>
      <c r="P204" s="446">
        <f t="shared" si="80"/>
        <v>16162.187010218191</v>
      </c>
      <c r="Q204" s="446">
        <f t="shared" si="80"/>
        <v>16145.86026125832</v>
      </c>
      <c r="R204" s="446">
        <f t="shared" si="80"/>
        <v>16127.956101300329</v>
      </c>
      <c r="S204" s="446">
        <f t="shared" si="80"/>
        <v>16108.474424144226</v>
      </c>
      <c r="T204" s="446">
        <f t="shared" si="80"/>
        <v>16087.415120114269</v>
      </c>
      <c r="U204" s="446">
        <f t="shared" si="80"/>
        <v>16064.778076017152</v>
      </c>
      <c r="V204" s="446">
        <f t="shared" si="80"/>
        <v>16040.563175099773</v>
      </c>
      <c r="W204" s="446">
        <f t="shared" si="80"/>
        <v>16014.770297006418</v>
      </c>
      <c r="X204" s="446">
        <f t="shared" si="80"/>
        <v>15987.399317735413</v>
      </c>
      <c r="Y204" s="446">
        <f t="shared" si="80"/>
        <v>15958.450109595229</v>
      </c>
      <c r="Z204" s="446">
        <f t="shared" si="80"/>
        <v>16050.812059933611</v>
      </c>
      <c r="AA204" s="446">
        <f t="shared" si="80"/>
        <v>16143.109506741281</v>
      </c>
      <c r="AB204" s="446">
        <f t="shared" si="80"/>
        <v>16235.342643359418</v>
      </c>
      <c r="AC204" s="446">
        <f t="shared" si="80"/>
        <v>16327.511663679399</v>
      </c>
      <c r="AD204" s="358"/>
      <c r="AE204"/>
      <c r="AF204"/>
      <c r="AG204"/>
      <c r="AH204"/>
      <c r="AI204"/>
      <c r="AJ204"/>
      <c r="AK204"/>
      <c r="AL204"/>
      <c r="AM204"/>
      <c r="AN204"/>
      <c r="AO204"/>
      <c r="AP204"/>
      <c r="AQ204"/>
      <c r="AR204"/>
      <c r="AS204"/>
      <c r="AT204"/>
      <c r="AU204"/>
      <c r="AV204"/>
      <c r="AW204"/>
      <c r="AX204"/>
      <c r="AY204"/>
      <c r="AZ204"/>
      <c r="BA204"/>
    </row>
    <row r="205" spans="1:53" s="76" customFormat="1" ht="15.75">
      <c r="A205" s="36"/>
      <c r="B205" s="25"/>
      <c r="C205" s="427" t="s">
        <v>601</v>
      </c>
      <c r="D205" s="440">
        <f t="shared" si="75"/>
        <v>1.6228024150378209</v>
      </c>
      <c r="E205" s="25"/>
      <c r="F205" s="446">
        <f>F138</f>
        <v>0</v>
      </c>
      <c r="G205" s="446">
        <f t="shared" ref="G205:AC205" si="81">G138</f>
        <v>16.461064378949857</v>
      </c>
      <c r="H205" s="446">
        <f t="shared" si="81"/>
        <v>66.604290088876596</v>
      </c>
      <c r="I205" s="446">
        <f t="shared" si="81"/>
        <v>67.36432266195375</v>
      </c>
      <c r="J205" s="446">
        <f t="shared" si="81"/>
        <v>68.124355235030919</v>
      </c>
      <c r="K205" s="446">
        <f t="shared" si="81"/>
        <v>68.884387808108087</v>
      </c>
      <c r="L205" s="446">
        <f t="shared" si="81"/>
        <v>69.644420381185256</v>
      </c>
      <c r="M205" s="446">
        <f t="shared" si="81"/>
        <v>70.404452954262396</v>
      </c>
      <c r="N205" s="446">
        <f t="shared" si="81"/>
        <v>71.164485527339565</v>
      </c>
      <c r="O205" s="446">
        <f t="shared" si="81"/>
        <v>71.636846803106408</v>
      </c>
      <c r="P205" s="446">
        <f t="shared" si="81"/>
        <v>72.109208078873237</v>
      </c>
      <c r="Q205" s="446">
        <f t="shared" si="81"/>
        <v>72.581569354640081</v>
      </c>
      <c r="R205" s="446">
        <f t="shared" si="81"/>
        <v>73.053930630406924</v>
      </c>
      <c r="S205" s="446">
        <f t="shared" si="81"/>
        <v>73.526291906173739</v>
      </c>
      <c r="T205" s="446">
        <f t="shared" si="81"/>
        <v>73.998653181940597</v>
      </c>
      <c r="U205" s="446">
        <f t="shared" si="81"/>
        <v>74.471014457707412</v>
      </c>
      <c r="V205" s="446">
        <f t="shared" si="81"/>
        <v>74.943375733474269</v>
      </c>
      <c r="W205" s="446">
        <f t="shared" si="81"/>
        <v>75.415737009241099</v>
      </c>
      <c r="X205" s="446">
        <f t="shared" si="81"/>
        <v>75.888098285007928</v>
      </c>
      <c r="Y205" s="446">
        <f t="shared" si="81"/>
        <v>76.360459560774771</v>
      </c>
      <c r="Z205" s="446">
        <f t="shared" si="81"/>
        <v>76.832820836541615</v>
      </c>
      <c r="AA205" s="446">
        <f t="shared" si="81"/>
        <v>77.30518211230843</v>
      </c>
      <c r="AB205" s="446">
        <f t="shared" si="81"/>
        <v>77.777543388075287</v>
      </c>
      <c r="AC205" s="446">
        <f t="shared" si="81"/>
        <v>78.249904663842116</v>
      </c>
      <c r="AD205" s="358"/>
      <c r="AE205"/>
      <c r="AF205"/>
      <c r="AG205"/>
      <c r="AH205"/>
      <c r="AI205"/>
      <c r="AJ205"/>
      <c r="AK205"/>
      <c r="AL205"/>
      <c r="AM205"/>
      <c r="AN205"/>
      <c r="AO205"/>
      <c r="AP205"/>
      <c r="AQ205"/>
      <c r="AR205"/>
      <c r="AS205"/>
      <c r="AT205"/>
      <c r="AU205"/>
      <c r="AV205"/>
      <c r="AW205"/>
      <c r="AX205"/>
      <c r="AY205"/>
      <c r="AZ205"/>
      <c r="BA205"/>
    </row>
    <row r="206" spans="1:53" s="76" customFormat="1" ht="15.75">
      <c r="A206" s="25"/>
      <c r="B206" s="25"/>
      <c r="C206" s="427" t="s">
        <v>205</v>
      </c>
      <c r="D206" s="440">
        <f t="shared" si="75"/>
        <v>2725.1210633936626</v>
      </c>
      <c r="E206" s="25"/>
      <c r="F206" s="446">
        <f>F151+F153+F164+F166+F170+F172+F174</f>
        <v>0</v>
      </c>
      <c r="G206" s="446">
        <f t="shared" ref="G206:AC206" si="82">G151+G153+G164+G166+G170+G172+G174</f>
        <v>27642.547761373604</v>
      </c>
      <c r="H206" s="446">
        <f t="shared" si="82"/>
        <v>111846.48984475988</v>
      </c>
      <c r="I206" s="446">
        <f t="shared" si="82"/>
        <v>113122.78864402534</v>
      </c>
      <c r="J206" s="446">
        <f t="shared" si="82"/>
        <v>114399.0874432908</v>
      </c>
      <c r="K206" s="446">
        <f t="shared" si="82"/>
        <v>115675.38624255624</v>
      </c>
      <c r="L206" s="446">
        <f t="shared" si="82"/>
        <v>116951.68504182172</v>
      </c>
      <c r="M206" s="446">
        <f t="shared" si="82"/>
        <v>118227.98384108719</v>
      </c>
      <c r="N206" s="446">
        <f t="shared" si="82"/>
        <v>119504.28264035263</v>
      </c>
      <c r="O206" s="446">
        <f t="shared" si="82"/>
        <v>120297.50407642851</v>
      </c>
      <c r="P206" s="446">
        <f t="shared" si="82"/>
        <v>121090.7255125044</v>
      </c>
      <c r="Q206" s="446">
        <f t="shared" si="82"/>
        <v>121883.94694858028</v>
      </c>
      <c r="R206" s="446">
        <f t="shared" si="82"/>
        <v>122677.16838465618</v>
      </c>
      <c r="S206" s="446">
        <f t="shared" si="82"/>
        <v>123470.38982073203</v>
      </c>
      <c r="T206" s="446">
        <f t="shared" si="82"/>
        <v>124263.61125680794</v>
      </c>
      <c r="U206" s="446">
        <f t="shared" si="82"/>
        <v>125056.83269288381</v>
      </c>
      <c r="V206" s="446">
        <f t="shared" si="82"/>
        <v>125850.05412895969</v>
      </c>
      <c r="W206" s="446">
        <f t="shared" si="82"/>
        <v>126643.27556503558</v>
      </c>
      <c r="X206" s="446">
        <f t="shared" si="82"/>
        <v>127436.49700111148</v>
      </c>
      <c r="Y206" s="446">
        <f t="shared" si="82"/>
        <v>128229.71843718732</v>
      </c>
      <c r="Z206" s="446">
        <f t="shared" si="82"/>
        <v>129022.9398732632</v>
      </c>
      <c r="AA206" s="446">
        <f t="shared" si="82"/>
        <v>129816.16130933908</v>
      </c>
      <c r="AB206" s="446">
        <f t="shared" si="82"/>
        <v>130609.38274541499</v>
      </c>
      <c r="AC206" s="446">
        <f t="shared" si="82"/>
        <v>131402.60418149087</v>
      </c>
      <c r="AD206" s="358"/>
      <c r="AE206"/>
      <c r="AF206"/>
      <c r="AG206"/>
      <c r="AH206"/>
      <c r="AI206"/>
      <c r="AJ206"/>
      <c r="AK206"/>
      <c r="AL206"/>
      <c r="AM206"/>
      <c r="AN206"/>
      <c r="AO206"/>
      <c r="AP206"/>
      <c r="AQ206"/>
      <c r="AR206"/>
      <c r="AS206"/>
      <c r="AT206"/>
      <c r="AU206"/>
      <c r="AV206"/>
      <c r="AW206"/>
      <c r="AX206"/>
      <c r="AY206"/>
      <c r="AZ206"/>
      <c r="BA206"/>
    </row>
    <row r="207" spans="1:53" s="76" customFormat="1" ht="15.75">
      <c r="A207" s="25"/>
      <c r="B207" s="25"/>
      <c r="C207" s="426"/>
      <c r="D207" s="490"/>
      <c r="E207" s="25"/>
      <c r="F207" s="437">
        <f>SUM(F200:F206)</f>
        <v>0</v>
      </c>
      <c r="G207" s="437">
        <f t="shared" ref="G207:AC207" si="83">SUM(G200:G206)</f>
        <v>71113.084718135855</v>
      </c>
      <c r="H207" s="437">
        <f t="shared" si="83"/>
        <v>287112.45639370952</v>
      </c>
      <c r="I207" s="437">
        <f t="shared" si="83"/>
        <v>289772.2007393447</v>
      </c>
      <c r="J207" s="437">
        <f t="shared" si="83"/>
        <v>292551.87675543583</v>
      </c>
      <c r="K207" s="437">
        <f t="shared" si="83"/>
        <v>295245.09408501897</v>
      </c>
      <c r="L207" s="437">
        <f t="shared" si="83"/>
        <v>297895.05251526285</v>
      </c>
      <c r="M207" s="437">
        <f t="shared" si="83"/>
        <v>300543.21089757961</v>
      </c>
      <c r="N207" s="437">
        <f t="shared" si="83"/>
        <v>303189.34230767266</v>
      </c>
      <c r="O207" s="437">
        <f t="shared" si="83"/>
        <v>304826.35637428355</v>
      </c>
      <c r="P207" s="437">
        <f t="shared" si="83"/>
        <v>306943.60035184195</v>
      </c>
      <c r="Q207" s="437">
        <f t="shared" si="83"/>
        <v>309063.89674791216</v>
      </c>
      <c r="R207" s="437">
        <f t="shared" si="83"/>
        <v>311187.29492083762</v>
      </c>
      <c r="S207" s="437">
        <f t="shared" si="83"/>
        <v>313313.84493259306</v>
      </c>
      <c r="T207" s="437">
        <f t="shared" si="83"/>
        <v>315443.59756142512</v>
      </c>
      <c r="U207" s="437">
        <f t="shared" si="83"/>
        <v>317576.6043147631</v>
      </c>
      <c r="V207" s="437">
        <f t="shared" si="83"/>
        <v>319712.91744241217</v>
      </c>
      <c r="W207" s="437">
        <f t="shared" si="83"/>
        <v>321852.58995003277</v>
      </c>
      <c r="X207" s="437">
        <f t="shared" si="83"/>
        <v>323995.67561291577</v>
      </c>
      <c r="Y207" s="437">
        <f t="shared" si="83"/>
        <v>326142.22899005801</v>
      </c>
      <c r="Z207" s="437">
        <f t="shared" si="83"/>
        <v>328415.19495732442</v>
      </c>
      <c r="AA207" s="437">
        <f t="shared" si="83"/>
        <v>330693.25415779994</v>
      </c>
      <c r="AB207" s="437">
        <f t="shared" si="83"/>
        <v>332976.46392157418</v>
      </c>
      <c r="AC207" s="437">
        <f t="shared" si="83"/>
        <v>335264.88242635317</v>
      </c>
      <c r="AD207" s="358"/>
      <c r="AE207"/>
      <c r="AF207"/>
      <c r="AG207"/>
      <c r="AH207"/>
      <c r="AI207"/>
      <c r="AJ207"/>
      <c r="AK207"/>
      <c r="AL207"/>
      <c r="AM207"/>
      <c r="AN207"/>
      <c r="AO207"/>
      <c r="AP207"/>
      <c r="AQ207"/>
      <c r="AR207"/>
      <c r="AS207"/>
      <c r="AT207"/>
      <c r="AU207"/>
      <c r="AV207"/>
      <c r="AW207"/>
      <c r="AX207"/>
      <c r="AY207"/>
      <c r="AZ207"/>
      <c r="BA207"/>
    </row>
    <row r="208" spans="1:53" s="76" customFormat="1" ht="15.75">
      <c r="A208" s="25"/>
      <c r="B208" s="25"/>
      <c r="C208" s="425" t="s">
        <v>184</v>
      </c>
      <c r="D208" s="218"/>
      <c r="E208" s="25"/>
      <c r="F208" s="25"/>
      <c r="G208" s="25"/>
      <c r="H208" s="25"/>
      <c r="I208" s="25"/>
      <c r="J208" s="25"/>
      <c r="K208" s="25"/>
      <c r="L208" s="25"/>
      <c r="M208" s="25"/>
      <c r="N208" s="25"/>
      <c r="O208" s="25"/>
      <c r="P208" s="25"/>
      <c r="Q208" s="25"/>
      <c r="R208" s="25"/>
      <c r="S208" s="25"/>
      <c r="T208" s="25"/>
      <c r="U208" s="25"/>
      <c r="V208" s="25"/>
      <c r="W208" s="25"/>
      <c r="X208" s="25"/>
      <c r="Y208" s="25"/>
      <c r="Z208" s="25"/>
      <c r="AA208" s="25"/>
      <c r="AB208" s="25"/>
      <c r="AC208" s="25"/>
      <c r="AD208" s="358"/>
      <c r="AE208"/>
      <c r="AF208"/>
      <c r="AG208"/>
      <c r="AH208"/>
      <c r="AI208"/>
      <c r="AJ208"/>
      <c r="AK208"/>
      <c r="AL208"/>
      <c r="AM208"/>
      <c r="AN208"/>
      <c r="AO208"/>
      <c r="AP208"/>
      <c r="AQ208"/>
      <c r="AR208"/>
      <c r="AS208"/>
      <c r="AT208"/>
      <c r="AU208"/>
      <c r="AV208"/>
      <c r="AW208"/>
      <c r="AX208"/>
      <c r="AY208"/>
      <c r="AZ208"/>
      <c r="BA208"/>
    </row>
    <row r="209" spans="1:53" s="76" customFormat="1" ht="15.75">
      <c r="A209" s="25"/>
      <c r="B209" s="25"/>
      <c r="C209" s="425" t="s">
        <v>185</v>
      </c>
      <c r="D209" s="443">
        <f>IRR(F209:AC209)</f>
        <v>0.39689629058614762</v>
      </c>
      <c r="E209" s="25"/>
      <c r="F209" s="439">
        <f>F198+F207</f>
        <v>-37500</v>
      </c>
      <c r="G209" s="439">
        <f t="shared" ref="G209:AC209" si="84">G198+G207</f>
        <v>-609077.10577430658</v>
      </c>
      <c r="H209" s="439">
        <f t="shared" si="84"/>
        <v>257008.16942494971</v>
      </c>
      <c r="I209" s="439">
        <f t="shared" si="84"/>
        <v>259324.38877159476</v>
      </c>
      <c r="J209" s="439">
        <f t="shared" si="84"/>
        <v>261760.53978869575</v>
      </c>
      <c r="K209" s="439">
        <f t="shared" si="84"/>
        <v>264110.23211928876</v>
      </c>
      <c r="L209" s="439">
        <f t="shared" si="84"/>
        <v>266416.66555054253</v>
      </c>
      <c r="M209" s="439">
        <f t="shared" si="84"/>
        <v>268721.29893386917</v>
      </c>
      <c r="N209" s="439">
        <f t="shared" si="84"/>
        <v>271023.90534497204</v>
      </c>
      <c r="O209" s="439">
        <f t="shared" si="84"/>
        <v>272447.41815844085</v>
      </c>
      <c r="P209" s="439">
        <f t="shared" si="84"/>
        <v>274351.16088285716</v>
      </c>
      <c r="Q209" s="439">
        <f t="shared" si="84"/>
        <v>276257.9560257853</v>
      </c>
      <c r="R209" s="439">
        <f t="shared" si="84"/>
        <v>278167.85294556868</v>
      </c>
      <c r="S209" s="439">
        <f t="shared" si="84"/>
        <v>280080.90170418203</v>
      </c>
      <c r="T209" s="439">
        <f t="shared" si="84"/>
        <v>281997.15307987202</v>
      </c>
      <c r="U209" s="439">
        <f t="shared" si="84"/>
        <v>283916.65858006786</v>
      </c>
      <c r="V209" s="439">
        <f t="shared" si="84"/>
        <v>285839.47045457485</v>
      </c>
      <c r="W209" s="439">
        <f t="shared" si="84"/>
        <v>287765.64170905337</v>
      </c>
      <c r="X209" s="439">
        <f t="shared" si="84"/>
        <v>289695.22611879429</v>
      </c>
      <c r="Y209" s="439">
        <f t="shared" si="84"/>
        <v>291628.27824279445</v>
      </c>
      <c r="Z209" s="439">
        <f t="shared" si="84"/>
        <v>293687.74295691878</v>
      </c>
      <c r="AA209" s="439">
        <f t="shared" si="84"/>
        <v>295752.30090425222</v>
      </c>
      <c r="AB209" s="439">
        <f t="shared" si="84"/>
        <v>297822.00941488432</v>
      </c>
      <c r="AC209" s="439">
        <f t="shared" si="84"/>
        <v>299896.92666652123</v>
      </c>
      <c r="AD209" s="358"/>
      <c r="AE209"/>
      <c r="AF209"/>
      <c r="AG209"/>
      <c r="AH209"/>
      <c r="AI209"/>
      <c r="AJ209"/>
      <c r="AK209"/>
      <c r="AL209"/>
      <c r="AM209"/>
      <c r="AN209"/>
      <c r="AO209"/>
      <c r="AP209"/>
      <c r="AQ209"/>
      <c r="AR209"/>
      <c r="AS209"/>
      <c r="AT209"/>
      <c r="AU209"/>
      <c r="AV209"/>
      <c r="AW209"/>
      <c r="AX209"/>
      <c r="AY209"/>
      <c r="AZ209"/>
      <c r="BA209"/>
    </row>
    <row r="210" spans="1:53" s="76" customFormat="1" ht="15.75">
      <c r="A210" s="25"/>
      <c r="B210" s="25"/>
      <c r="C210" s="425" t="s">
        <v>186</v>
      </c>
      <c r="D210" s="444">
        <f>SUM(D200:D206)/SUM(D194:D197)</f>
        <v>4.8033927683304913</v>
      </c>
      <c r="E210" s="25"/>
      <c r="F210" s="431">
        <f t="shared" ref="F210:AC210" si="85">F209-F180</f>
        <v>0</v>
      </c>
      <c r="G210" s="431">
        <f t="shared" si="85"/>
        <v>0</v>
      </c>
      <c r="H210" s="431">
        <f t="shared" si="85"/>
        <v>0</v>
      </c>
      <c r="I210" s="431">
        <f t="shared" si="85"/>
        <v>0</v>
      </c>
      <c r="J210" s="431">
        <f t="shared" si="85"/>
        <v>0</v>
      </c>
      <c r="K210" s="431">
        <f t="shared" si="85"/>
        <v>0</v>
      </c>
      <c r="L210" s="431">
        <f t="shared" si="85"/>
        <v>0</v>
      </c>
      <c r="M210" s="431">
        <f t="shared" si="85"/>
        <v>0</v>
      </c>
      <c r="N210" s="431">
        <f t="shared" si="85"/>
        <v>0</v>
      </c>
      <c r="O210" s="431">
        <f t="shared" si="85"/>
        <v>0</v>
      </c>
      <c r="P210" s="431">
        <f t="shared" si="85"/>
        <v>0</v>
      </c>
      <c r="Q210" s="431">
        <f t="shared" si="85"/>
        <v>0</v>
      </c>
      <c r="R210" s="431">
        <f t="shared" si="85"/>
        <v>0</v>
      </c>
      <c r="S210" s="431">
        <f t="shared" si="85"/>
        <v>0</v>
      </c>
      <c r="T210" s="431">
        <f t="shared" si="85"/>
        <v>0</v>
      </c>
      <c r="U210" s="431">
        <f t="shared" si="85"/>
        <v>0</v>
      </c>
      <c r="V210" s="431">
        <f t="shared" si="85"/>
        <v>0</v>
      </c>
      <c r="W210" s="431">
        <f t="shared" si="85"/>
        <v>0</v>
      </c>
      <c r="X210" s="431">
        <f t="shared" si="85"/>
        <v>0</v>
      </c>
      <c r="Y210" s="431">
        <f t="shared" si="85"/>
        <v>0</v>
      </c>
      <c r="Z210" s="431">
        <f t="shared" si="85"/>
        <v>0</v>
      </c>
      <c r="AA210" s="431">
        <f t="shared" si="85"/>
        <v>0</v>
      </c>
      <c r="AB210" s="431">
        <f t="shared" si="85"/>
        <v>0</v>
      </c>
      <c r="AC210" s="431">
        <f t="shared" si="85"/>
        <v>0</v>
      </c>
      <c r="AD210" s="358"/>
      <c r="AE210"/>
      <c r="AF210"/>
      <c r="AG210"/>
      <c r="AH210"/>
      <c r="AI210"/>
      <c r="AJ210"/>
      <c r="AK210"/>
      <c r="AL210"/>
      <c r="AM210"/>
      <c r="AN210"/>
      <c r="AO210"/>
      <c r="AP210"/>
      <c r="AQ210"/>
      <c r="AR210"/>
      <c r="AS210"/>
      <c r="AT210"/>
      <c r="AU210"/>
      <c r="AV210"/>
      <c r="AW210"/>
      <c r="AX210"/>
      <c r="AY210"/>
      <c r="AZ210"/>
      <c r="BA210"/>
    </row>
    <row r="211" spans="1:53" s="76" customFormat="1">
      <c r="A211" s="25"/>
      <c r="B211" s="25"/>
      <c r="C211" s="50"/>
      <c r="D211" s="40"/>
      <c r="E211" s="25"/>
      <c r="F211" s="39"/>
      <c r="H211"/>
      <c r="I211"/>
      <c r="J211"/>
      <c r="K211"/>
      <c r="L211"/>
      <c r="M211"/>
      <c r="N211"/>
      <c r="O211"/>
      <c r="P211"/>
      <c r="Q211"/>
      <c r="R211"/>
      <c r="S211"/>
      <c r="T211"/>
      <c r="U211"/>
      <c r="V211"/>
      <c r="W211"/>
      <c r="X211"/>
      <c r="Y211"/>
      <c r="Z211"/>
      <c r="AA211"/>
      <c r="AB211"/>
      <c r="AC211"/>
      <c r="AD211" s="358"/>
      <c r="AE211"/>
      <c r="AF211"/>
      <c r="AG211"/>
      <c r="AH211"/>
      <c r="AI211"/>
      <c r="AJ211"/>
      <c r="AK211"/>
      <c r="AL211"/>
      <c r="AM211"/>
      <c r="AN211"/>
      <c r="AO211"/>
      <c r="AP211"/>
      <c r="AQ211"/>
      <c r="AR211"/>
      <c r="AS211"/>
      <c r="AT211"/>
      <c r="AU211"/>
      <c r="AV211"/>
      <c r="AW211"/>
      <c r="AX211"/>
      <c r="AY211"/>
      <c r="AZ211"/>
      <c r="BA211"/>
    </row>
    <row r="212" spans="1:53" s="76" customFormat="1">
      <c r="A212" s="25"/>
      <c r="B212" s="25"/>
      <c r="C212" s="50"/>
      <c r="D212" s="25"/>
      <c r="E212" s="25"/>
      <c r="F212" s="39"/>
      <c r="H212"/>
      <c r="I212"/>
      <c r="J212"/>
      <c r="K212"/>
      <c r="L212"/>
      <c r="M212"/>
      <c r="N212"/>
      <c r="O212"/>
      <c r="P212"/>
      <c r="Q212"/>
      <c r="R212"/>
      <c r="S212"/>
      <c r="T212"/>
      <c r="U212"/>
      <c r="V212"/>
      <c r="W212"/>
      <c r="X212"/>
      <c r="Y212"/>
      <c r="Z212"/>
      <c r="AA212"/>
      <c r="AB212"/>
      <c r="AC212"/>
      <c r="AD212" s="358"/>
      <c r="AE212"/>
      <c r="AF212"/>
      <c r="AG212"/>
      <c r="AH212"/>
      <c r="AI212"/>
      <c r="AJ212"/>
      <c r="AK212"/>
      <c r="AL212"/>
      <c r="AM212"/>
      <c r="AN212"/>
      <c r="AO212"/>
      <c r="AP212"/>
      <c r="AQ212"/>
      <c r="AR212"/>
      <c r="AS212"/>
      <c r="AT212"/>
      <c r="AU212"/>
      <c r="AV212"/>
      <c r="AW212"/>
      <c r="AX212"/>
      <c r="AY212"/>
      <c r="AZ212"/>
      <c r="BA212"/>
    </row>
    <row r="213" spans="1:53" s="76" customFormat="1" ht="14.25">
      <c r="A213" s="25"/>
      <c r="B213" s="25"/>
      <c r="C213" s="436" t="s">
        <v>602</v>
      </c>
      <c r="D213" s="39"/>
      <c r="E213" s="39"/>
      <c r="F213" s="39"/>
      <c r="H213"/>
      <c r="I213"/>
      <c r="J213"/>
      <c r="K213"/>
      <c r="L213"/>
      <c r="M213"/>
      <c r="N213"/>
      <c r="O213"/>
      <c r="P213"/>
      <c r="Q213"/>
      <c r="R213"/>
      <c r="S213"/>
      <c r="T213"/>
      <c r="U213"/>
      <c r="V213"/>
      <c r="W213"/>
      <c r="X213"/>
      <c r="Y213"/>
      <c r="Z213"/>
      <c r="AA213"/>
      <c r="AB213"/>
      <c r="AC213"/>
      <c r="AD213" s="358"/>
      <c r="AE213"/>
      <c r="AF213"/>
      <c r="AG213"/>
      <c r="AH213"/>
      <c r="AI213"/>
      <c r="AJ213"/>
      <c r="AK213"/>
      <c r="AL213"/>
      <c r="AM213"/>
      <c r="AN213"/>
      <c r="AO213"/>
      <c r="AP213"/>
      <c r="AQ213"/>
      <c r="AR213"/>
      <c r="AS213"/>
      <c r="AT213"/>
      <c r="AU213"/>
      <c r="AV213"/>
      <c r="AW213"/>
      <c r="AX213"/>
      <c r="AY213"/>
      <c r="AZ213"/>
      <c r="BA213"/>
    </row>
    <row r="214" spans="1:53" s="76" customFormat="1" ht="15.75">
      <c r="A214" s="25"/>
      <c r="B214" s="25"/>
      <c r="C214" s="425" t="s">
        <v>1</v>
      </c>
      <c r="D214" s="442">
        <f>SUM(D215:D218)</f>
        <v>1169.0062618144389</v>
      </c>
      <c r="E214" s="39"/>
      <c r="F214" s="446"/>
      <c r="G214" s="446"/>
      <c r="H214" s="446"/>
      <c r="I214" s="446"/>
      <c r="J214" s="446"/>
      <c r="K214" s="446"/>
      <c r="L214" s="446"/>
      <c r="M214" s="446"/>
      <c r="N214" s="446"/>
      <c r="O214" s="446"/>
      <c r="P214" s="446"/>
      <c r="Q214" s="446"/>
      <c r="R214" s="446"/>
      <c r="S214" s="446"/>
      <c r="T214" s="446"/>
      <c r="U214" s="446"/>
      <c r="V214" s="446"/>
      <c r="W214" s="446"/>
      <c r="X214" s="446"/>
      <c r="Y214" s="446"/>
      <c r="Z214" s="446"/>
      <c r="AA214" s="446"/>
      <c r="AB214" s="446"/>
      <c r="AC214" s="446"/>
      <c r="AD214" s="358"/>
      <c r="AE214"/>
      <c r="AF214"/>
      <c r="AG214"/>
      <c r="AH214"/>
      <c r="AI214"/>
      <c r="AJ214"/>
      <c r="AK214"/>
      <c r="AL214"/>
      <c r="AM214"/>
      <c r="AN214"/>
      <c r="AO214"/>
      <c r="AP214"/>
      <c r="AQ214"/>
      <c r="AR214"/>
      <c r="AS214"/>
      <c r="AT214"/>
      <c r="AU214"/>
      <c r="AV214"/>
      <c r="AW214"/>
      <c r="AX214"/>
      <c r="AY214"/>
      <c r="AZ214"/>
      <c r="BA214"/>
    </row>
    <row r="215" spans="1:53" s="76" customFormat="1" ht="15.75">
      <c r="A215" s="25"/>
      <c r="B215" s="25"/>
      <c r="C215" s="427" t="s">
        <v>199</v>
      </c>
      <c r="D215" s="440">
        <f>-SUM(F215:AC215)/1000</f>
        <v>670.53916486002458</v>
      </c>
      <c r="E215" s="39"/>
      <c r="F215" s="446">
        <f t="shared" ref="F215:AC215" si="86">F194*F$181</f>
        <v>-36407.76699029126</v>
      </c>
      <c r="G215" s="446">
        <f t="shared" si="86"/>
        <v>-634131.39786973328</v>
      </c>
      <c r="H215" s="446">
        <f t="shared" si="86"/>
        <v>0</v>
      </c>
      <c r="I215" s="446">
        <f t="shared" si="86"/>
        <v>0</v>
      </c>
      <c r="J215" s="446">
        <f t="shared" si="86"/>
        <v>0</v>
      </c>
      <c r="K215" s="446">
        <f t="shared" si="86"/>
        <v>0</v>
      </c>
      <c r="L215" s="446">
        <f t="shared" si="86"/>
        <v>0</v>
      </c>
      <c r="M215" s="446">
        <f t="shared" si="86"/>
        <v>0</v>
      </c>
      <c r="N215" s="446">
        <f t="shared" si="86"/>
        <v>0</v>
      </c>
      <c r="O215" s="446">
        <f t="shared" si="86"/>
        <v>0</v>
      </c>
      <c r="P215" s="446">
        <f t="shared" si="86"/>
        <v>0</v>
      </c>
      <c r="Q215" s="446">
        <f t="shared" si="86"/>
        <v>0</v>
      </c>
      <c r="R215" s="446">
        <f t="shared" si="86"/>
        <v>0</v>
      </c>
      <c r="S215" s="446">
        <f t="shared" si="86"/>
        <v>0</v>
      </c>
      <c r="T215" s="446">
        <f t="shared" si="86"/>
        <v>0</v>
      </c>
      <c r="U215" s="446">
        <f t="shared" si="86"/>
        <v>0</v>
      </c>
      <c r="V215" s="446">
        <f t="shared" si="86"/>
        <v>0</v>
      </c>
      <c r="W215" s="446">
        <f t="shared" si="86"/>
        <v>0</v>
      </c>
      <c r="X215" s="446">
        <f t="shared" si="86"/>
        <v>0</v>
      </c>
      <c r="Y215" s="446">
        <f t="shared" si="86"/>
        <v>0</v>
      </c>
      <c r="Z215" s="446">
        <f t="shared" si="86"/>
        <v>0</v>
      </c>
      <c r="AA215" s="446">
        <f t="shared" si="86"/>
        <v>0</v>
      </c>
      <c r="AB215" s="446">
        <f t="shared" si="86"/>
        <v>0</v>
      </c>
      <c r="AC215" s="446">
        <f t="shared" si="86"/>
        <v>0</v>
      </c>
      <c r="AD215" s="358"/>
      <c r="AE215"/>
      <c r="AF215"/>
      <c r="AG215"/>
      <c r="AH215"/>
      <c r="AI215"/>
      <c r="AJ215"/>
      <c r="AK215"/>
      <c r="AL215"/>
      <c r="AM215"/>
      <c r="AN215"/>
      <c r="AO215"/>
      <c r="AP215"/>
      <c r="AQ215"/>
      <c r="AR215"/>
      <c r="AS215"/>
      <c r="AT215"/>
      <c r="AU215"/>
      <c r="AV215"/>
      <c r="AW215"/>
      <c r="AX215"/>
      <c r="AY215"/>
      <c r="AZ215"/>
      <c r="BA215"/>
    </row>
    <row r="216" spans="1:53" s="76" customFormat="1" ht="15.75">
      <c r="A216" s="25"/>
      <c r="B216" s="25"/>
      <c r="C216" s="427" t="s">
        <v>200</v>
      </c>
      <c r="D216" s="440">
        <f>-SUM(F216:AC216)/1000</f>
        <v>0</v>
      </c>
      <c r="E216" s="25"/>
      <c r="F216" s="446">
        <f t="shared" ref="F216:AC216" si="87">F195*F$181</f>
        <v>0</v>
      </c>
      <c r="G216" s="446">
        <f t="shared" si="87"/>
        <v>0</v>
      </c>
      <c r="H216" s="446">
        <f t="shared" si="87"/>
        <v>0</v>
      </c>
      <c r="I216" s="446">
        <f t="shared" si="87"/>
        <v>0</v>
      </c>
      <c r="J216" s="446">
        <f t="shared" si="87"/>
        <v>0</v>
      </c>
      <c r="K216" s="446">
        <f t="shared" si="87"/>
        <v>0</v>
      </c>
      <c r="L216" s="446">
        <f t="shared" si="87"/>
        <v>0</v>
      </c>
      <c r="M216" s="446">
        <f t="shared" si="87"/>
        <v>0</v>
      </c>
      <c r="N216" s="446">
        <f t="shared" si="87"/>
        <v>0</v>
      </c>
      <c r="O216" s="446">
        <f t="shared" si="87"/>
        <v>0</v>
      </c>
      <c r="P216" s="446">
        <f t="shared" si="87"/>
        <v>0</v>
      </c>
      <c r="Q216" s="446">
        <f t="shared" si="87"/>
        <v>0</v>
      </c>
      <c r="R216" s="446">
        <f t="shared" si="87"/>
        <v>0</v>
      </c>
      <c r="S216" s="446">
        <f t="shared" si="87"/>
        <v>0</v>
      </c>
      <c r="T216" s="446">
        <f t="shared" si="87"/>
        <v>0</v>
      </c>
      <c r="U216" s="446">
        <f t="shared" si="87"/>
        <v>0</v>
      </c>
      <c r="V216" s="446">
        <f t="shared" si="87"/>
        <v>0</v>
      </c>
      <c r="W216" s="446">
        <f t="shared" si="87"/>
        <v>0</v>
      </c>
      <c r="X216" s="446">
        <f t="shared" si="87"/>
        <v>0</v>
      </c>
      <c r="Y216" s="446">
        <f t="shared" si="87"/>
        <v>0</v>
      </c>
      <c r="Z216" s="446">
        <f t="shared" si="87"/>
        <v>0</v>
      </c>
      <c r="AA216" s="446">
        <f t="shared" si="87"/>
        <v>0</v>
      </c>
      <c r="AB216" s="446">
        <f t="shared" si="87"/>
        <v>0</v>
      </c>
      <c r="AC216" s="446">
        <f t="shared" si="87"/>
        <v>0</v>
      </c>
      <c r="AD216" s="358"/>
      <c r="AE216"/>
      <c r="AF216"/>
      <c r="AG216"/>
      <c r="AH216"/>
      <c r="AI216"/>
      <c r="AJ216"/>
      <c r="AK216"/>
      <c r="AL216"/>
      <c r="AM216"/>
      <c r="AN216"/>
      <c r="AO216"/>
      <c r="AP216"/>
      <c r="AQ216"/>
      <c r="AR216"/>
      <c r="AS216"/>
      <c r="AT216"/>
      <c r="AU216"/>
      <c r="AV216"/>
      <c r="AW216"/>
      <c r="AX216"/>
      <c r="AY216"/>
      <c r="AZ216"/>
      <c r="BA216"/>
    </row>
    <row r="217" spans="1:53" s="76" customFormat="1" ht="15.75">
      <c r="A217" s="25"/>
      <c r="B217" s="25"/>
      <c r="C217" s="428" t="s">
        <v>563</v>
      </c>
      <c r="D217" s="440">
        <f>-SUM(F217:AC217)/1000</f>
        <v>0</v>
      </c>
      <c r="E217" s="25"/>
      <c r="F217" s="446">
        <f t="shared" ref="F217:AC217" si="88">F196*F$181</f>
        <v>0</v>
      </c>
      <c r="G217" s="446">
        <f t="shared" si="88"/>
        <v>0</v>
      </c>
      <c r="H217" s="446">
        <f t="shared" si="88"/>
        <v>0</v>
      </c>
      <c r="I217" s="446">
        <f t="shared" si="88"/>
        <v>0</v>
      </c>
      <c r="J217" s="446">
        <f t="shared" si="88"/>
        <v>0</v>
      </c>
      <c r="K217" s="446">
        <f t="shared" si="88"/>
        <v>0</v>
      </c>
      <c r="L217" s="446">
        <f t="shared" si="88"/>
        <v>0</v>
      </c>
      <c r="M217" s="446">
        <f t="shared" si="88"/>
        <v>0</v>
      </c>
      <c r="N217" s="446">
        <f t="shared" si="88"/>
        <v>0</v>
      </c>
      <c r="O217" s="446">
        <f t="shared" si="88"/>
        <v>0</v>
      </c>
      <c r="P217" s="446">
        <f t="shared" si="88"/>
        <v>0</v>
      </c>
      <c r="Q217" s="446">
        <f t="shared" si="88"/>
        <v>0</v>
      </c>
      <c r="R217" s="446">
        <f t="shared" si="88"/>
        <v>0</v>
      </c>
      <c r="S217" s="446">
        <f t="shared" si="88"/>
        <v>0</v>
      </c>
      <c r="T217" s="446">
        <f t="shared" si="88"/>
        <v>0</v>
      </c>
      <c r="U217" s="446">
        <f t="shared" si="88"/>
        <v>0</v>
      </c>
      <c r="V217" s="446">
        <f t="shared" si="88"/>
        <v>0</v>
      </c>
      <c r="W217" s="446">
        <f t="shared" si="88"/>
        <v>0</v>
      </c>
      <c r="X217" s="446">
        <f t="shared" si="88"/>
        <v>0</v>
      </c>
      <c r="Y217" s="446">
        <f t="shared" si="88"/>
        <v>0</v>
      </c>
      <c r="Z217" s="446">
        <f t="shared" si="88"/>
        <v>0</v>
      </c>
      <c r="AA217" s="446">
        <f t="shared" si="88"/>
        <v>0</v>
      </c>
      <c r="AB217" s="446">
        <f t="shared" si="88"/>
        <v>0</v>
      </c>
      <c r="AC217" s="446">
        <f t="shared" si="88"/>
        <v>0</v>
      </c>
      <c r="AD217" s="358"/>
      <c r="AE217"/>
      <c r="AF217"/>
      <c r="AG217"/>
      <c r="AH217"/>
      <c r="AI217"/>
      <c r="AJ217"/>
      <c r="AK217"/>
      <c r="AL217"/>
      <c r="AM217"/>
      <c r="AN217"/>
      <c r="AO217"/>
      <c r="AP217"/>
      <c r="AQ217"/>
      <c r="AR217"/>
      <c r="AS217"/>
      <c r="AT217"/>
      <c r="AU217"/>
      <c r="AV217"/>
      <c r="AW217"/>
      <c r="AX217"/>
      <c r="AY217"/>
      <c r="AZ217"/>
      <c r="BA217"/>
    </row>
    <row r="218" spans="1:53" s="76" customFormat="1" ht="15.75">
      <c r="A218" s="25"/>
      <c r="B218" s="25"/>
      <c r="C218" s="427" t="s">
        <v>201</v>
      </c>
      <c r="D218" s="440">
        <f>-SUM(F218:AC218)/1000</f>
        <v>498.46709695441422</v>
      </c>
      <c r="E218" s="25"/>
      <c r="F218" s="446">
        <f t="shared" ref="F218:AC218" si="89">F197*F$181</f>
        <v>0</v>
      </c>
      <c r="G218" s="446">
        <f t="shared" si="89"/>
        <v>-7013.0931213520771</v>
      </c>
      <c r="H218" s="446">
        <f t="shared" si="89"/>
        <v>-27549.68713023455</v>
      </c>
      <c r="I218" s="446">
        <f t="shared" si="89"/>
        <v>-27052.48657071812</v>
      </c>
      <c r="J218" s="446">
        <f t="shared" si="89"/>
        <v>-26560.877750442818</v>
      </c>
      <c r="K218" s="446">
        <f t="shared" si="89"/>
        <v>-26074.956730317739</v>
      </c>
      <c r="L218" s="446">
        <f t="shared" si="89"/>
        <v>-25594.809231795385</v>
      </c>
      <c r="M218" s="446">
        <f t="shared" si="89"/>
        <v>-25120.511157678142</v>
      </c>
      <c r="N218" s="446">
        <f t="shared" si="89"/>
        <v>-24652.129091357903</v>
      </c>
      <c r="O218" s="446">
        <f t="shared" si="89"/>
        <v>-24092.970897225565</v>
      </c>
      <c r="P218" s="446">
        <f t="shared" si="89"/>
        <v>-23545.471728651861</v>
      </c>
      <c r="Q218" s="446">
        <f t="shared" si="89"/>
        <v>-23009.426773303116</v>
      </c>
      <c r="R218" s="446">
        <f t="shared" si="89"/>
        <v>-22484.63325888637</v>
      </c>
      <c r="S218" s="446">
        <f t="shared" si="89"/>
        <v>-21970.890508061839</v>
      </c>
      <c r="T218" s="446">
        <f t="shared" si="89"/>
        <v>-21467.999988425887</v>
      </c>
      <c r="U218" s="446">
        <f t="shared" si="89"/>
        <v>-20975.76535780515</v>
      </c>
      <c r="V218" s="446">
        <f t="shared" si="89"/>
        <v>-20493.992505092592</v>
      </c>
      <c r="W218" s="446">
        <f t="shared" si="89"/>
        <v>-20022.489586846623</v>
      </c>
      <c r="X218" s="446">
        <f t="shared" si="89"/>
        <v>-19561.067059865636</v>
      </c>
      <c r="Y218" s="446">
        <f t="shared" si="89"/>
        <v>-19109.537709941167</v>
      </c>
      <c r="Z218" s="446">
        <f t="shared" si="89"/>
        <v>-18667.716676984797</v>
      </c>
      <c r="AA218" s="446">
        <f t="shared" si="89"/>
        <v>-18235.421476715535</v>
      </c>
      <c r="AB218" s="446">
        <f t="shared" si="89"/>
        <v>-17812.472019086825</v>
      </c>
      <c r="AC218" s="446">
        <f t="shared" si="89"/>
        <v>-17398.690623624581</v>
      </c>
      <c r="AD218" s="358"/>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26"/>
      <c r="D219" s="441"/>
      <c r="E219" s="25"/>
      <c r="F219" s="438">
        <f>SUM(F215:F218)</f>
        <v>-36407.76699029126</v>
      </c>
      <c r="G219" s="438">
        <f t="shared" ref="G219:AC219" si="90">SUM(G215:G218)</f>
        <v>-641144.4909910853</v>
      </c>
      <c r="H219" s="438">
        <f t="shared" si="90"/>
        <v>-27549.68713023455</v>
      </c>
      <c r="I219" s="438">
        <f t="shared" si="90"/>
        <v>-27052.48657071812</v>
      </c>
      <c r="J219" s="438">
        <f t="shared" si="90"/>
        <v>-26560.877750442818</v>
      </c>
      <c r="K219" s="438">
        <f t="shared" si="90"/>
        <v>-26074.956730317739</v>
      </c>
      <c r="L219" s="438">
        <f t="shared" si="90"/>
        <v>-25594.809231795385</v>
      </c>
      <c r="M219" s="438">
        <f t="shared" si="90"/>
        <v>-25120.511157678142</v>
      </c>
      <c r="N219" s="438">
        <f t="shared" si="90"/>
        <v>-24652.129091357903</v>
      </c>
      <c r="O219" s="438">
        <f t="shared" si="90"/>
        <v>-24092.970897225565</v>
      </c>
      <c r="P219" s="438">
        <f t="shared" si="90"/>
        <v>-23545.471728651861</v>
      </c>
      <c r="Q219" s="438">
        <f t="shared" si="90"/>
        <v>-23009.426773303116</v>
      </c>
      <c r="R219" s="438">
        <f t="shared" si="90"/>
        <v>-22484.63325888637</v>
      </c>
      <c r="S219" s="438">
        <f t="shared" si="90"/>
        <v>-21970.890508061839</v>
      </c>
      <c r="T219" s="438">
        <f t="shared" si="90"/>
        <v>-21467.999988425887</v>
      </c>
      <c r="U219" s="438">
        <f t="shared" si="90"/>
        <v>-20975.76535780515</v>
      </c>
      <c r="V219" s="438">
        <f t="shared" si="90"/>
        <v>-20493.992505092592</v>
      </c>
      <c r="W219" s="438">
        <f t="shared" si="90"/>
        <v>-20022.489586846623</v>
      </c>
      <c r="X219" s="438">
        <f t="shared" si="90"/>
        <v>-19561.067059865636</v>
      </c>
      <c r="Y219" s="438">
        <f t="shared" si="90"/>
        <v>-19109.537709941167</v>
      </c>
      <c r="Z219" s="438">
        <f t="shared" si="90"/>
        <v>-18667.716676984797</v>
      </c>
      <c r="AA219" s="438">
        <f t="shared" si="90"/>
        <v>-18235.421476715535</v>
      </c>
      <c r="AB219" s="438">
        <f t="shared" si="90"/>
        <v>-17812.472019086825</v>
      </c>
      <c r="AC219" s="438">
        <f t="shared" si="90"/>
        <v>-17398.690623624581</v>
      </c>
      <c r="AD219" s="358"/>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25" t="s">
        <v>0</v>
      </c>
      <c r="D220" s="442">
        <f>SUM(D221:D227)</f>
        <v>4714.048151540499</v>
      </c>
      <c r="E220" s="25"/>
      <c r="F220" s="430"/>
      <c r="G220" s="430"/>
      <c r="H220" s="430"/>
      <c r="I220" s="430"/>
      <c r="J220" s="430"/>
      <c r="K220" s="430"/>
      <c r="L220" s="430"/>
      <c r="M220" s="430"/>
      <c r="N220" s="430"/>
      <c r="O220" s="430"/>
      <c r="P220" s="430"/>
      <c r="Q220" s="430"/>
      <c r="R220" s="430"/>
      <c r="S220" s="430"/>
      <c r="T220" s="430"/>
      <c r="U220" s="430"/>
      <c r="V220" s="430"/>
      <c r="W220" s="430"/>
      <c r="X220" s="430"/>
      <c r="Y220" s="430"/>
      <c r="Z220" s="430"/>
      <c r="AA220" s="430"/>
      <c r="AB220" s="430"/>
      <c r="AC220" s="430"/>
      <c r="AD220" s="358"/>
      <c r="AE220"/>
      <c r="AF220"/>
      <c r="AG220"/>
      <c r="AH220"/>
      <c r="AI220"/>
      <c r="AJ220"/>
      <c r="AK220"/>
      <c r="AL220"/>
      <c r="AM220"/>
      <c r="AN220"/>
      <c r="AO220"/>
      <c r="AP220"/>
      <c r="AQ220"/>
      <c r="AR220"/>
      <c r="AS220"/>
      <c r="AT220"/>
      <c r="AU220"/>
      <c r="AV220"/>
      <c r="AW220"/>
      <c r="AX220"/>
      <c r="AY220"/>
      <c r="AZ220"/>
      <c r="BA220"/>
    </row>
    <row r="221" spans="1:53" s="76" customFormat="1" ht="15.75">
      <c r="A221" s="25"/>
      <c r="B221"/>
      <c r="C221" s="427" t="s">
        <v>599</v>
      </c>
      <c r="D221" s="440">
        <f t="shared" ref="D221:D227" si="91">SUM(F221:AC221)/1000</f>
        <v>1277.4312685831214</v>
      </c>
      <c r="E221" s="25"/>
      <c r="F221" s="448">
        <f t="shared" ref="F221:AC221" si="92">F200*F$181</f>
        <v>0</v>
      </c>
      <c r="G221" s="448">
        <f t="shared" si="92"/>
        <v>17564.088193163199</v>
      </c>
      <c r="H221" s="448">
        <f t="shared" si="92"/>
        <v>69143.658727030226</v>
      </c>
      <c r="I221" s="448">
        <f t="shared" si="92"/>
        <v>68040.412897807793</v>
      </c>
      <c r="J221" s="448">
        <f t="shared" si="92"/>
        <v>66946.928257415333</v>
      </c>
      <c r="K221" s="448">
        <f t="shared" si="92"/>
        <v>65863.493211523906</v>
      </c>
      <c r="L221" s="448">
        <f t="shared" si="92"/>
        <v>64790.372728091308</v>
      </c>
      <c r="M221" s="448">
        <f t="shared" si="92"/>
        <v>63727.809422300023</v>
      </c>
      <c r="N221" s="448">
        <f t="shared" si="92"/>
        <v>62676.024598981159</v>
      </c>
      <c r="O221" s="448">
        <f t="shared" si="92"/>
        <v>61388.701321775232</v>
      </c>
      <c r="P221" s="448">
        <f t="shared" si="92"/>
        <v>60125.84490863324</v>
      </c>
      <c r="Q221" s="448">
        <f t="shared" si="92"/>
        <v>58887.072439634168</v>
      </c>
      <c r="R221" s="448">
        <f t="shared" si="92"/>
        <v>57672.00357517488</v>
      </c>
      <c r="S221" s="448">
        <f t="shared" si="92"/>
        <v>56480.260708226691</v>
      </c>
      <c r="T221" s="448">
        <f t="shared" si="92"/>
        <v>55311.469106033444</v>
      </c>
      <c r="U221" s="448">
        <f t="shared" si="92"/>
        <v>54165.257041724864</v>
      </c>
      <c r="V221" s="448">
        <f t="shared" si="92"/>
        <v>53041.255916301387</v>
      </c>
      <c r="W221" s="448">
        <f t="shared" si="92"/>
        <v>51939.100371429151</v>
      </c>
      <c r="X221" s="448">
        <f t="shared" si="92"/>
        <v>50858.428393465852</v>
      </c>
      <c r="Y221" s="448">
        <f t="shared" si="92"/>
        <v>49798.881409122238</v>
      </c>
      <c r="Z221" s="448">
        <f t="shared" si="92"/>
        <v>48760.104373148548</v>
      </c>
      <c r="AA221" s="448">
        <f t="shared" si="92"/>
        <v>47741.745848418526</v>
      </c>
      <c r="AB221" s="448">
        <f t="shared" si="92"/>
        <v>46743.45807877052</v>
      </c>
      <c r="AC221" s="448">
        <f t="shared" si="92"/>
        <v>45764.897054949986</v>
      </c>
      <c r="AD221" s="358"/>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27" t="s">
        <v>600</v>
      </c>
      <c r="D222" s="440">
        <f t="shared" si="91"/>
        <v>1077.8517664670542</v>
      </c>
      <c r="E222" s="25"/>
      <c r="F222" s="446">
        <f t="shared" ref="F222:AC222" si="93">F201*F$181</f>
        <v>0</v>
      </c>
      <c r="G222" s="446">
        <f t="shared" si="93"/>
        <v>15164.641468679671</v>
      </c>
      <c r="H222" s="446">
        <f t="shared" si="93"/>
        <v>59571.59283003505</v>
      </c>
      <c r="I222" s="446">
        <f t="shared" si="93"/>
        <v>58496.47973904563</v>
      </c>
      <c r="J222" s="446">
        <f t="shared" si="93"/>
        <v>57433.457849372171</v>
      </c>
      <c r="K222" s="446">
        <f t="shared" si="93"/>
        <v>56382.73487667174</v>
      </c>
      <c r="L222" s="446">
        <f t="shared" si="93"/>
        <v>55344.496179254995</v>
      </c>
      <c r="M222" s="446">
        <f t="shared" si="93"/>
        <v>54318.905884243133</v>
      </c>
      <c r="N222" s="446">
        <f t="shared" si="93"/>
        <v>53306.10796709008</v>
      </c>
      <c r="O222" s="446">
        <f t="shared" si="93"/>
        <v>52097.021848944169</v>
      </c>
      <c r="P222" s="446">
        <f t="shared" si="93"/>
        <v>50913.146424483864</v>
      </c>
      <c r="Q222" s="446">
        <f t="shared" si="93"/>
        <v>49754.038821276823</v>
      </c>
      <c r="R222" s="446">
        <f t="shared" si="93"/>
        <v>48619.260578137808</v>
      </c>
      <c r="S222" s="446">
        <f t="shared" si="93"/>
        <v>47508.377763867502</v>
      </c>
      <c r="T222" s="446">
        <f t="shared" si="93"/>
        <v>46420.961085332514</v>
      </c>
      <c r="U222" s="446">
        <f t="shared" si="93"/>
        <v>45356.585985406244</v>
      </c>
      <c r="V222" s="446">
        <f t="shared" si="93"/>
        <v>44314.832731269991</v>
      </c>
      <c r="W222" s="446">
        <f t="shared" si="93"/>
        <v>43295.286493552587</v>
      </c>
      <c r="X222" s="446">
        <f t="shared" si="93"/>
        <v>42297.537416767227</v>
      </c>
      <c r="Y222" s="446">
        <f t="shared" si="93"/>
        <v>41321.180681485421</v>
      </c>
      <c r="Z222" s="446">
        <f t="shared" si="93"/>
        <v>40365.816558669772</v>
      </c>
      <c r="AA222" s="446">
        <f t="shared" si="93"/>
        <v>39431.050456569224</v>
      </c>
      <c r="AB222" s="446">
        <f t="shared" si="93"/>
        <v>38516.492960564465</v>
      </c>
      <c r="AC222" s="446">
        <f t="shared" si="93"/>
        <v>37621.759866333843</v>
      </c>
      <c r="AD222" s="358"/>
      <c r="AE222"/>
      <c r="AF222"/>
      <c r="AG222"/>
      <c r="AH222"/>
      <c r="AI222"/>
      <c r="AJ222"/>
      <c r="AK222"/>
      <c r="AL222"/>
      <c r="AM222"/>
      <c r="AN222"/>
      <c r="AO222"/>
      <c r="AP222"/>
      <c r="AQ222"/>
      <c r="AR222"/>
      <c r="AS222"/>
      <c r="AT222"/>
      <c r="AU222"/>
      <c r="AV222"/>
      <c r="AW222"/>
      <c r="AX222"/>
      <c r="AY222"/>
      <c r="AZ222"/>
      <c r="BA222"/>
    </row>
    <row r="223" spans="1:53" s="76" customFormat="1" ht="15.75">
      <c r="A223" s="25"/>
      <c r="B223" s="25"/>
      <c r="C223" s="427" t="s">
        <v>202</v>
      </c>
      <c r="D223" s="440">
        <f t="shared" si="91"/>
        <v>181.62853241665093</v>
      </c>
      <c r="E223" s="25"/>
      <c r="F223" s="446">
        <f t="shared" ref="F223:AC223" si="94">F202*F$181</f>
        <v>0</v>
      </c>
      <c r="G223" s="446">
        <f t="shared" si="94"/>
        <v>2453.2646612050603</v>
      </c>
      <c r="H223" s="446">
        <f t="shared" si="94"/>
        <v>9673.779946803299</v>
      </c>
      <c r="I223" s="446">
        <f t="shared" si="94"/>
        <v>9535.347822752623</v>
      </c>
      <c r="J223" s="446">
        <f t="shared" si="94"/>
        <v>9397.8109666572036</v>
      </c>
      <c r="K223" s="446">
        <f t="shared" si="94"/>
        <v>9261.2149377610549</v>
      </c>
      <c r="L223" s="446">
        <f t="shared" si="94"/>
        <v>9125.6022927303293</v>
      </c>
      <c r="M223" s="446">
        <f t="shared" si="94"/>
        <v>8991.012712986043</v>
      </c>
      <c r="N223" s="446">
        <f t="shared" si="94"/>
        <v>8857.4831273673499</v>
      </c>
      <c r="O223" s="446">
        <f t="shared" si="94"/>
        <v>8690.1508870068174</v>
      </c>
      <c r="P223" s="446">
        <f t="shared" si="94"/>
        <v>8525.7139078046857</v>
      </c>
      <c r="Q223" s="446">
        <f t="shared" si="94"/>
        <v>8364.1330505895967</v>
      </c>
      <c r="R223" s="446">
        <f t="shared" si="94"/>
        <v>8205.3692575948226</v>
      </c>
      <c r="S223" s="446">
        <f t="shared" si="94"/>
        <v>8049.3835753498388</v>
      </c>
      <c r="T223" s="446">
        <f t="shared" si="94"/>
        <v>7896.1371762942281</v>
      </c>
      <c r="U223" s="446">
        <f t="shared" si="94"/>
        <v>7745.5913791659759</v>
      </c>
      <c r="V223" s="446">
        <f t="shared" si="94"/>
        <v>7597.7076682145162</v>
      </c>
      <c r="W223" s="446">
        <f t="shared" si="94"/>
        <v>7452.4477112868562</v>
      </c>
      <c r="X223" s="446">
        <f t="shared" si="94"/>
        <v>7309.7733768335538</v>
      </c>
      <c r="Y223" s="446">
        <f t="shared" si="94"/>
        <v>7169.6467498794391</v>
      </c>
      <c r="Z223" s="446">
        <f t="shared" si="94"/>
        <v>7032.0301470024669</v>
      </c>
      <c r="AA223" s="446">
        <f t="shared" si="94"/>
        <v>6896.8861303624244</v>
      </c>
      <c r="AB223" s="446">
        <f t="shared" si="94"/>
        <v>6764.1775208197269</v>
      </c>
      <c r="AC223" s="446">
        <f t="shared" si="94"/>
        <v>6633.8674101829774</v>
      </c>
      <c r="AD223" s="358"/>
      <c r="AE223"/>
      <c r="AF223"/>
      <c r="AG223"/>
      <c r="AH223"/>
      <c r="AI223"/>
      <c r="AJ223"/>
      <c r="AK223"/>
      <c r="AL223"/>
      <c r="AM223"/>
      <c r="AN223"/>
      <c r="AO223"/>
      <c r="AP223"/>
      <c r="AQ223"/>
      <c r="AR223"/>
      <c r="AS223"/>
      <c r="AT223"/>
      <c r="AU223"/>
      <c r="AV223"/>
      <c r="AW223"/>
      <c r="AX223"/>
      <c r="AY223"/>
      <c r="AZ223"/>
      <c r="BA223"/>
    </row>
    <row r="224" spans="1:53" s="76" customFormat="1" ht="15.75">
      <c r="A224" s="25"/>
      <c r="B224"/>
      <c r="C224" s="427" t="s">
        <v>203</v>
      </c>
      <c r="D224" s="440">
        <f t="shared" si="91"/>
        <v>62.9049879952506</v>
      </c>
      <c r="E224" s="25"/>
      <c r="F224" s="446">
        <f t="shared" ref="F224:AC224" si="95">F203*F$181</f>
        <v>0</v>
      </c>
      <c r="G224" s="446">
        <f t="shared" si="95"/>
        <v>885.03040883473147</v>
      </c>
      <c r="H224" s="446">
        <f t="shared" si="95"/>
        <v>3476.6843163547896</v>
      </c>
      <c r="I224" s="446">
        <f t="shared" si="95"/>
        <v>3413.9391614213782</v>
      </c>
      <c r="J224" s="446">
        <f t="shared" si="95"/>
        <v>3351.8996664843526</v>
      </c>
      <c r="K224" s="446">
        <f t="shared" si="95"/>
        <v>3290.5779541298775</v>
      </c>
      <c r="L224" s="446">
        <f t="shared" si="95"/>
        <v>3229.9848421370511</v>
      </c>
      <c r="M224" s="446">
        <f t="shared" si="95"/>
        <v>3170.1299092020413</v>
      </c>
      <c r="N224" s="446">
        <f t="shared" si="95"/>
        <v>3111.021557940574</v>
      </c>
      <c r="O224" s="446">
        <f t="shared" si="95"/>
        <v>3040.4575433762238</v>
      </c>
      <c r="P224" s="446">
        <f t="shared" si="95"/>
        <v>2971.3648613577593</v>
      </c>
      <c r="Q224" s="446">
        <f t="shared" si="95"/>
        <v>2903.7176652095018</v>
      </c>
      <c r="R224" s="446">
        <f t="shared" si="95"/>
        <v>2837.4903657025311</v>
      </c>
      <c r="S224" s="446">
        <f t="shared" si="95"/>
        <v>2772.6576379844564</v>
      </c>
      <c r="T224" s="446">
        <f t="shared" si="95"/>
        <v>2709.1944278871247</v>
      </c>
      <c r="U224" s="446">
        <f t="shared" si="95"/>
        <v>2647.0759576425876</v>
      </c>
      <c r="V224" s="446">
        <f t="shared" si="95"/>
        <v>2586.2777310364827</v>
      </c>
      <c r="W224" s="446">
        <f t="shared" si="95"/>
        <v>2526.775538026739</v>
      </c>
      <c r="X224" s="446">
        <f t="shared" si="95"/>
        <v>2468.5454588543689</v>
      </c>
      <c r="Y224" s="446">
        <f t="shared" si="95"/>
        <v>2411.5638676720337</v>
      </c>
      <c r="Z224" s="446">
        <f t="shared" si="95"/>
        <v>2355.8074357149785</v>
      </c>
      <c r="AA224" s="446">
        <f t="shared" si="95"/>
        <v>2301.2531340379123</v>
      </c>
      <c r="AB224" s="446">
        <f t="shared" si="95"/>
        <v>2247.8782358404392</v>
      </c>
      <c r="AC224" s="446">
        <f t="shared" si="95"/>
        <v>2195.6603184026694</v>
      </c>
      <c r="AD224" s="358"/>
      <c r="AE224"/>
      <c r="AF224"/>
      <c r="AG224"/>
      <c r="AH224"/>
      <c r="AI224"/>
      <c r="AJ224"/>
      <c r="AK224"/>
      <c r="AL224"/>
      <c r="AM224"/>
      <c r="AN224"/>
      <c r="AO224"/>
      <c r="AP224"/>
      <c r="AQ224"/>
      <c r="AR224"/>
      <c r="AS224"/>
      <c r="AT224"/>
      <c r="AU224"/>
      <c r="AV224"/>
      <c r="AW224"/>
      <c r="AX224"/>
      <c r="AY224"/>
      <c r="AZ224"/>
      <c r="BA224"/>
    </row>
    <row r="225" spans="3:29" ht="15.75">
      <c r="C225" s="427" t="s">
        <v>204</v>
      </c>
      <c r="D225" s="440">
        <f t="shared" si="91"/>
        <v>261.17341860110741</v>
      </c>
      <c r="F225" s="446">
        <f t="shared" ref="F225:AC225" si="96">F204*F$181</f>
        <v>0</v>
      </c>
      <c r="G225" s="446">
        <f t="shared" si="96"/>
        <v>4892.6094394655393</v>
      </c>
      <c r="H225" s="446">
        <f t="shared" si="96"/>
        <v>18466.519274965787</v>
      </c>
      <c r="I225" s="446">
        <f t="shared" si="96"/>
        <v>17404.682719408076</v>
      </c>
      <c r="J225" s="446">
        <f t="shared" si="96"/>
        <v>16487.29961601222</v>
      </c>
      <c r="K225" s="446">
        <f t="shared" si="96"/>
        <v>15531.092724938677</v>
      </c>
      <c r="L225" s="446">
        <f t="shared" si="96"/>
        <v>14576.432797298001</v>
      </c>
      <c r="M225" s="446">
        <f t="shared" si="96"/>
        <v>13657.88794040681</v>
      </c>
      <c r="N225" s="446">
        <f t="shared" si="96"/>
        <v>12774.124306735601</v>
      </c>
      <c r="O225" s="446">
        <f t="shared" si="96"/>
        <v>12037.159974819444</v>
      </c>
      <c r="P225" s="446">
        <f t="shared" si="96"/>
        <v>11675.907772549755</v>
      </c>
      <c r="Q225" s="446">
        <f t="shared" si="96"/>
        <v>11324.381535653843</v>
      </c>
      <c r="R225" s="446">
        <f t="shared" si="96"/>
        <v>10982.353318531603</v>
      </c>
      <c r="S225" s="446">
        <f t="shared" si="96"/>
        <v>10649.599266375573</v>
      </c>
      <c r="T225" s="446">
        <f t="shared" si="96"/>
        <v>10325.899597575941</v>
      </c>
      <c r="U225" s="446">
        <f t="shared" si="96"/>
        <v>10011.038582882</v>
      </c>
      <c r="V225" s="446">
        <f t="shared" si="96"/>
        <v>9704.8045215473776</v>
      </c>
      <c r="W225" s="446">
        <f t="shared" si="96"/>
        <v>9406.989714674979</v>
      </c>
      <c r="X225" s="446">
        <f t="shared" si="96"/>
        <v>9117.3904359670032</v>
      </c>
      <c r="Y225" s="446">
        <f t="shared" si="96"/>
        <v>8835.8069000751329</v>
      </c>
      <c r="Z225" s="446">
        <f t="shared" si="96"/>
        <v>8628.1024005697655</v>
      </c>
      <c r="AA225" s="446">
        <f t="shared" si="96"/>
        <v>8424.9677924946427</v>
      </c>
      <c r="AB225" s="446">
        <f t="shared" si="96"/>
        <v>8226.3141503189581</v>
      </c>
      <c r="AC225" s="446">
        <f t="shared" si="96"/>
        <v>8032.0538178407205</v>
      </c>
    </row>
    <row r="226" spans="3:29" ht="15.75">
      <c r="C226" s="427" t="s">
        <v>601</v>
      </c>
      <c r="D226" s="440">
        <f t="shared" si="91"/>
        <v>1.1028345285096683</v>
      </c>
      <c r="F226" s="446">
        <f t="shared" ref="F226:AC226" si="97">F205*F$181</f>
        <v>0</v>
      </c>
      <c r="G226" s="446">
        <f t="shared" si="97"/>
        <v>15.516131943585499</v>
      </c>
      <c r="H226" s="446">
        <f t="shared" si="97"/>
        <v>60.952360551973726</v>
      </c>
      <c r="I226" s="446">
        <f t="shared" si="97"/>
        <v>59.852328176759222</v>
      </c>
      <c r="J226" s="446">
        <f t="shared" si="97"/>
        <v>58.764667256244969</v>
      </c>
      <c r="K226" s="446">
        <f t="shared" si="97"/>
        <v>57.689590320581978</v>
      </c>
      <c r="L226" s="446">
        <f t="shared" si="97"/>
        <v>56.627287024369778</v>
      </c>
      <c r="M226" s="446">
        <f t="shared" si="97"/>
        <v>55.577925298915773</v>
      </c>
      <c r="N226" s="446">
        <f t="shared" si="97"/>
        <v>54.541652456778905</v>
      </c>
      <c r="O226" s="446">
        <f t="shared" si="97"/>
        <v>53.30454178858038</v>
      </c>
      <c r="P226" s="446">
        <f t="shared" si="97"/>
        <v>52.093226154865377</v>
      </c>
      <c r="Q226" s="446">
        <f t="shared" si="97"/>
        <v>50.907252418175418</v>
      </c>
      <c r="R226" s="446">
        <f t="shared" si="97"/>
        <v>49.746171954544238</v>
      </c>
      <c r="S226" s="446">
        <f t="shared" si="97"/>
        <v>48.609540774988872</v>
      </c>
      <c r="T226" s="446">
        <f t="shared" si="97"/>
        <v>47.496919636094695</v>
      </c>
      <c r="U226" s="446">
        <f t="shared" si="97"/>
        <v>46.40787414022639</v>
      </c>
      <c r="V226" s="446">
        <f t="shared" si="97"/>
        <v>45.341974825875852</v>
      </c>
      <c r="W226" s="446">
        <f t="shared" si="97"/>
        <v>44.298797248635921</v>
      </c>
      <c r="X226" s="446">
        <f t="shared" si="97"/>
        <v>43.277922053270004</v>
      </c>
      <c r="Y226" s="446">
        <f t="shared" si="97"/>
        <v>42.278935037327081</v>
      </c>
      <c r="Z226" s="446">
        <f t="shared" si="97"/>
        <v>41.301427206733692</v>
      </c>
      <c r="AA226" s="446">
        <f t="shared" si="97"/>
        <v>40.344994823776339</v>
      </c>
      <c r="AB226" s="446">
        <f t="shared" si="97"/>
        <v>39.409239447870277</v>
      </c>
      <c r="AC226" s="446">
        <f t="shared" si="97"/>
        <v>38.493767969494229</v>
      </c>
    </row>
    <row r="227" spans="3:29" ht="15.75">
      <c r="C227" s="427" t="s">
        <v>205</v>
      </c>
      <c r="D227" s="440">
        <f t="shared" si="91"/>
        <v>1851.9553429488053</v>
      </c>
      <c r="F227" s="446">
        <f t="shared" ref="F227:AC227" si="98">F206*F$181</f>
        <v>0</v>
      </c>
      <c r="G227" s="446">
        <f t="shared" si="98"/>
        <v>26055.752437905179</v>
      </c>
      <c r="H227" s="446">
        <f t="shared" si="98"/>
        <v>102355.38230935986</v>
      </c>
      <c r="I227" s="446">
        <f t="shared" si="98"/>
        <v>100508.13253432047</v>
      </c>
      <c r="J227" s="446">
        <f t="shared" si="98"/>
        <v>98681.657754114742</v>
      </c>
      <c r="K227" s="446">
        <f t="shared" si="98"/>
        <v>96876.314863941821</v>
      </c>
      <c r="L227" s="446">
        <f t="shared" si="98"/>
        <v>95092.422344806706</v>
      </c>
      <c r="M227" s="446">
        <f t="shared" si="98"/>
        <v>93330.262198472978</v>
      </c>
      <c r="N227" s="446">
        <f t="shared" si="98"/>
        <v>91590.081802288259</v>
      </c>
      <c r="O227" s="446">
        <f t="shared" si="98"/>
        <v>89512.640760534414</v>
      </c>
      <c r="P227" s="446">
        <f t="shared" si="98"/>
        <v>87478.516509013716</v>
      </c>
      <c r="Q227" s="446">
        <f t="shared" si="98"/>
        <v>85486.948108241908</v>
      </c>
      <c r="R227" s="446">
        <f t="shared" si="98"/>
        <v>83537.182198100301</v>
      </c>
      <c r="S227" s="446">
        <f t="shared" si="98"/>
        <v>81628.473201851913</v>
      </c>
      <c r="T227" s="446">
        <f t="shared" si="98"/>
        <v>79760.083511843404</v>
      </c>
      <c r="U227" s="446">
        <f t="shared" si="98"/>
        <v>77931.283657786291</v>
      </c>
      <c r="V227" s="446">
        <f t="shared" si="98"/>
        <v>76141.352458475216</v>
      </c>
      <c r="W227" s="446">
        <f t="shared" si="98"/>
        <v>74389.577157764797</v>
      </c>
      <c r="X227" s="446">
        <f t="shared" si="98"/>
        <v>72675.253545593616</v>
      </c>
      <c r="Y227" s="446">
        <f t="shared" si="98"/>
        <v>70997.686064811031</v>
      </c>
      <c r="Z227" s="446">
        <f t="shared" si="98"/>
        <v>69356.18790453118</v>
      </c>
      <c r="AA227" s="446">
        <f t="shared" si="98"/>
        <v>67750.081080708071</v>
      </c>
      <c r="AB227" s="446">
        <f t="shared" si="98"/>
        <v>66178.696504597465</v>
      </c>
      <c r="AC227" s="446">
        <f t="shared" si="98"/>
        <v>64641.374039742397</v>
      </c>
    </row>
    <row r="228" spans="3:29" ht="15.75">
      <c r="C228" s="426"/>
      <c r="D228" s="441"/>
      <c r="F228" s="437">
        <f>SUM(F221:F227)</f>
        <v>0</v>
      </c>
      <c r="G228" s="437">
        <f t="shared" ref="G228:AC228" si="99">SUM(G221:G227)</f>
        <v>67030.902741196973</v>
      </c>
      <c r="H228" s="437">
        <f t="shared" si="99"/>
        <v>262748.56976510101</v>
      </c>
      <c r="I228" s="437">
        <f t="shared" si="99"/>
        <v>257458.84720293272</v>
      </c>
      <c r="J228" s="437">
        <f t="shared" si="99"/>
        <v>252357.81877731229</v>
      </c>
      <c r="K228" s="437">
        <f t="shared" si="99"/>
        <v>247263.11815928761</v>
      </c>
      <c r="L228" s="437">
        <f t="shared" si="99"/>
        <v>242215.93847134279</v>
      </c>
      <c r="M228" s="437">
        <f t="shared" si="99"/>
        <v>237251.58599290994</v>
      </c>
      <c r="N228" s="437">
        <f t="shared" si="99"/>
        <v>232369.38501285977</v>
      </c>
      <c r="O228" s="437">
        <f t="shared" si="99"/>
        <v>226819.43687824489</v>
      </c>
      <c r="P228" s="437">
        <f t="shared" si="99"/>
        <v>221742.58760999786</v>
      </c>
      <c r="Q228" s="437">
        <f t="shared" si="99"/>
        <v>216771.19887302403</v>
      </c>
      <c r="R228" s="437">
        <f t="shared" si="99"/>
        <v>211903.40546519647</v>
      </c>
      <c r="S228" s="437">
        <f t="shared" si="99"/>
        <v>207137.36169443099</v>
      </c>
      <c r="T228" s="437">
        <f t="shared" si="99"/>
        <v>202471.24182460277</v>
      </c>
      <c r="U228" s="437">
        <f t="shared" si="99"/>
        <v>197903.24047874819</v>
      </c>
      <c r="V228" s="437">
        <f t="shared" si="99"/>
        <v>193431.57300167083</v>
      </c>
      <c r="W228" s="437">
        <f t="shared" si="99"/>
        <v>189054.47578398371</v>
      </c>
      <c r="X228" s="437">
        <f t="shared" si="99"/>
        <v>184770.20654953489</v>
      </c>
      <c r="Y228" s="437">
        <f t="shared" si="99"/>
        <v>180577.04460808259</v>
      </c>
      <c r="Z228" s="437">
        <f t="shared" si="99"/>
        <v>176539.35024684345</v>
      </c>
      <c r="AA228" s="437">
        <f t="shared" si="99"/>
        <v>172586.32943741459</v>
      </c>
      <c r="AB228" s="437">
        <f t="shared" si="99"/>
        <v>168716.42669035943</v>
      </c>
      <c r="AC228" s="437">
        <f t="shared" si="99"/>
        <v>164928.10627542209</v>
      </c>
    </row>
    <row r="229" spans="3:29" ht="15.75">
      <c r="C229" s="425" t="s">
        <v>184</v>
      </c>
      <c r="D229" s="442">
        <f>NPV(0.03,F209:AC209)/1000</f>
        <v>3545.0418897260606</v>
      </c>
    </row>
    <row r="230" spans="3:29" ht="15.75">
      <c r="C230" s="425" t="s">
        <v>185</v>
      </c>
      <c r="D230" s="443">
        <f>IRR(F230:AC230)</f>
        <v>0.35620999086033467</v>
      </c>
      <c r="F230" s="430">
        <f>F219+F228</f>
        <v>-36407.76699029126</v>
      </c>
      <c r="G230" s="430">
        <f t="shared" ref="G230:AC230" si="100">G219+G228</f>
        <v>-574113.58824988827</v>
      </c>
      <c r="H230" s="430">
        <f t="shared" si="100"/>
        <v>235198.88263486646</v>
      </c>
      <c r="I230" s="430">
        <f t="shared" si="100"/>
        <v>230406.36063221461</v>
      </c>
      <c r="J230" s="430">
        <f t="shared" si="100"/>
        <v>225796.94102686946</v>
      </c>
      <c r="K230" s="430">
        <f t="shared" si="100"/>
        <v>221188.16142896988</v>
      </c>
      <c r="L230" s="430">
        <f t="shared" si="100"/>
        <v>216621.12923954742</v>
      </c>
      <c r="M230" s="430">
        <f t="shared" si="100"/>
        <v>212131.07483523179</v>
      </c>
      <c r="N230" s="430">
        <f t="shared" si="100"/>
        <v>207717.25592150187</v>
      </c>
      <c r="O230" s="430">
        <f t="shared" si="100"/>
        <v>202726.46598101931</v>
      </c>
      <c r="P230" s="430">
        <f t="shared" si="100"/>
        <v>198197.11588134599</v>
      </c>
      <c r="Q230" s="430">
        <f t="shared" si="100"/>
        <v>193761.7720997209</v>
      </c>
      <c r="R230" s="430">
        <f t="shared" si="100"/>
        <v>189418.7722063101</v>
      </c>
      <c r="S230" s="430">
        <f t="shared" si="100"/>
        <v>185166.47118636916</v>
      </c>
      <c r="T230" s="430">
        <f t="shared" si="100"/>
        <v>181003.24183617689</v>
      </c>
      <c r="U230" s="430">
        <f t="shared" si="100"/>
        <v>176927.47512094304</v>
      </c>
      <c r="V230" s="430">
        <f t="shared" si="100"/>
        <v>172937.58049657824</v>
      </c>
      <c r="W230" s="430">
        <f t="shared" si="100"/>
        <v>169031.9861971371</v>
      </c>
      <c r="X230" s="430">
        <f t="shared" si="100"/>
        <v>165209.13948966927</v>
      </c>
      <c r="Y230" s="430">
        <f t="shared" si="100"/>
        <v>161467.50689814144</v>
      </c>
      <c r="Z230" s="430">
        <f t="shared" si="100"/>
        <v>157871.63356985865</v>
      </c>
      <c r="AA230" s="430">
        <f t="shared" si="100"/>
        <v>154350.90796069906</v>
      </c>
      <c r="AB230" s="430">
        <f t="shared" si="100"/>
        <v>150903.9546712726</v>
      </c>
      <c r="AC230" s="430">
        <f t="shared" si="100"/>
        <v>147529.41565179752</v>
      </c>
    </row>
    <row r="231" spans="3:29" ht="15.75">
      <c r="C231" s="425" t="s">
        <v>186</v>
      </c>
      <c r="D231" s="444">
        <f>SUM(D221:D227)/SUM(D215:D218)</f>
        <v>4.0325260056552024</v>
      </c>
    </row>
    <row r="234" spans="3:29" ht="14.25">
      <c r="C234" s="436" t="s">
        <v>619</v>
      </c>
      <c r="D234" s="39"/>
      <c r="E234" s="39"/>
    </row>
    <row r="235" spans="3:29" ht="15.75">
      <c r="C235" s="425" t="s">
        <v>1</v>
      </c>
      <c r="D235" s="442">
        <f>SUM(D236:D239)</f>
        <v>941.77281943455023</v>
      </c>
      <c r="E235" s="39"/>
      <c r="F235" s="39"/>
    </row>
    <row r="236" spans="3:29" ht="15.75">
      <c r="C236" s="427" t="s">
        <v>199</v>
      </c>
      <c r="D236" s="440">
        <f>-SUM(F236:AC236)/1000</f>
        <v>622.65263341776563</v>
      </c>
      <c r="E236" s="39"/>
      <c r="F236" s="430">
        <f>F194*F$183</f>
        <v>-35046.728971962613</v>
      </c>
      <c r="G236" s="430">
        <f t="shared" ref="G236:AC236" si="101">G194*G$183</f>
        <v>-587605.90444580303</v>
      </c>
      <c r="H236" s="430">
        <f t="shared" si="101"/>
        <v>0</v>
      </c>
      <c r="I236" s="430">
        <f t="shared" si="101"/>
        <v>0</v>
      </c>
      <c r="J236" s="430">
        <f t="shared" si="101"/>
        <v>0</v>
      </c>
      <c r="K236" s="430">
        <f t="shared" si="101"/>
        <v>0</v>
      </c>
      <c r="L236" s="430">
        <f t="shared" si="101"/>
        <v>0</v>
      </c>
      <c r="M236" s="430">
        <f t="shared" si="101"/>
        <v>0</v>
      </c>
      <c r="N236" s="430">
        <f t="shared" si="101"/>
        <v>0</v>
      </c>
      <c r="O236" s="430">
        <f t="shared" si="101"/>
        <v>0</v>
      </c>
      <c r="P236" s="430">
        <f t="shared" si="101"/>
        <v>0</v>
      </c>
      <c r="Q236" s="430">
        <f t="shared" si="101"/>
        <v>0</v>
      </c>
      <c r="R236" s="430">
        <f t="shared" si="101"/>
        <v>0</v>
      </c>
      <c r="S236" s="430">
        <f t="shared" si="101"/>
        <v>0</v>
      </c>
      <c r="T236" s="430">
        <f t="shared" si="101"/>
        <v>0</v>
      </c>
      <c r="U236" s="430">
        <f t="shared" si="101"/>
        <v>0</v>
      </c>
      <c r="V236" s="430">
        <f t="shared" si="101"/>
        <v>0</v>
      </c>
      <c r="W236" s="430">
        <f t="shared" si="101"/>
        <v>0</v>
      </c>
      <c r="X236" s="430">
        <f t="shared" si="101"/>
        <v>0</v>
      </c>
      <c r="Y236" s="430">
        <f t="shared" si="101"/>
        <v>0</v>
      </c>
      <c r="Z236" s="430">
        <f t="shared" si="101"/>
        <v>0</v>
      </c>
      <c r="AA236" s="430">
        <f t="shared" si="101"/>
        <v>0</v>
      </c>
      <c r="AB236" s="430">
        <f t="shared" si="101"/>
        <v>0</v>
      </c>
      <c r="AC236" s="430">
        <f t="shared" si="101"/>
        <v>0</v>
      </c>
    </row>
    <row r="237" spans="3:29" ht="15.75">
      <c r="C237" s="427" t="s">
        <v>200</v>
      </c>
      <c r="D237" s="440">
        <f>-SUM(F237:AC237)/1000</f>
        <v>0</v>
      </c>
      <c r="F237" s="430">
        <f t="shared" ref="F237:AC237" si="102">F195*F$183</f>
        <v>0</v>
      </c>
      <c r="G237" s="430">
        <f t="shared" si="102"/>
        <v>0</v>
      </c>
      <c r="H237" s="430">
        <f t="shared" si="102"/>
        <v>0</v>
      </c>
      <c r="I237" s="430">
        <f t="shared" si="102"/>
        <v>0</v>
      </c>
      <c r="J237" s="430">
        <f t="shared" si="102"/>
        <v>0</v>
      </c>
      <c r="K237" s="430">
        <f t="shared" si="102"/>
        <v>0</v>
      </c>
      <c r="L237" s="430">
        <f t="shared" si="102"/>
        <v>0</v>
      </c>
      <c r="M237" s="430">
        <f t="shared" si="102"/>
        <v>0</v>
      </c>
      <c r="N237" s="430">
        <f t="shared" si="102"/>
        <v>0</v>
      </c>
      <c r="O237" s="430">
        <f t="shared" si="102"/>
        <v>0</v>
      </c>
      <c r="P237" s="430">
        <f t="shared" si="102"/>
        <v>0</v>
      </c>
      <c r="Q237" s="430">
        <f t="shared" si="102"/>
        <v>0</v>
      </c>
      <c r="R237" s="430">
        <f t="shared" si="102"/>
        <v>0</v>
      </c>
      <c r="S237" s="430">
        <f t="shared" si="102"/>
        <v>0</v>
      </c>
      <c r="T237" s="430">
        <f t="shared" si="102"/>
        <v>0</v>
      </c>
      <c r="U237" s="430">
        <f t="shared" si="102"/>
        <v>0</v>
      </c>
      <c r="V237" s="430">
        <f t="shared" si="102"/>
        <v>0</v>
      </c>
      <c r="W237" s="430">
        <f t="shared" si="102"/>
        <v>0</v>
      </c>
      <c r="X237" s="430">
        <f t="shared" si="102"/>
        <v>0</v>
      </c>
      <c r="Y237" s="430">
        <f t="shared" si="102"/>
        <v>0</v>
      </c>
      <c r="Z237" s="430">
        <f t="shared" si="102"/>
        <v>0</v>
      </c>
      <c r="AA237" s="430">
        <f t="shared" si="102"/>
        <v>0</v>
      </c>
      <c r="AB237" s="430">
        <f t="shared" si="102"/>
        <v>0</v>
      </c>
      <c r="AC237" s="430">
        <f t="shared" si="102"/>
        <v>0</v>
      </c>
    </row>
    <row r="238" spans="3:29" ht="15.75">
      <c r="C238" s="428" t="s">
        <v>563</v>
      </c>
      <c r="D238" s="440">
        <f>-SUM(F238:AC238)/1000</f>
        <v>0</v>
      </c>
      <c r="F238" s="430">
        <f t="shared" ref="F238:AC238" si="103">F196*F$183</f>
        <v>0</v>
      </c>
      <c r="G238" s="430">
        <f t="shared" si="103"/>
        <v>0</v>
      </c>
      <c r="H238" s="430">
        <f t="shared" si="103"/>
        <v>0</v>
      </c>
      <c r="I238" s="430">
        <f t="shared" si="103"/>
        <v>0</v>
      </c>
      <c r="J238" s="430">
        <f t="shared" si="103"/>
        <v>0</v>
      </c>
      <c r="K238" s="430">
        <f t="shared" si="103"/>
        <v>0</v>
      </c>
      <c r="L238" s="430">
        <f t="shared" si="103"/>
        <v>0</v>
      </c>
      <c r="M238" s="430">
        <f t="shared" si="103"/>
        <v>0</v>
      </c>
      <c r="N238" s="430">
        <f t="shared" si="103"/>
        <v>0</v>
      </c>
      <c r="O238" s="430">
        <f t="shared" si="103"/>
        <v>0</v>
      </c>
      <c r="P238" s="430">
        <f t="shared" si="103"/>
        <v>0</v>
      </c>
      <c r="Q238" s="430">
        <f t="shared" si="103"/>
        <v>0</v>
      </c>
      <c r="R238" s="430">
        <f t="shared" si="103"/>
        <v>0</v>
      </c>
      <c r="S238" s="430">
        <f t="shared" si="103"/>
        <v>0</v>
      </c>
      <c r="T238" s="430">
        <f t="shared" si="103"/>
        <v>0</v>
      </c>
      <c r="U238" s="430">
        <f t="shared" si="103"/>
        <v>0</v>
      </c>
      <c r="V238" s="430">
        <f t="shared" si="103"/>
        <v>0</v>
      </c>
      <c r="W238" s="430">
        <f t="shared" si="103"/>
        <v>0</v>
      </c>
      <c r="X238" s="430">
        <f t="shared" si="103"/>
        <v>0</v>
      </c>
      <c r="Y238" s="430">
        <f t="shared" si="103"/>
        <v>0</v>
      </c>
      <c r="Z238" s="430">
        <f t="shared" si="103"/>
        <v>0</v>
      </c>
      <c r="AA238" s="430">
        <f t="shared" si="103"/>
        <v>0</v>
      </c>
      <c r="AB238" s="430">
        <f t="shared" si="103"/>
        <v>0</v>
      </c>
      <c r="AC238" s="430">
        <f t="shared" si="103"/>
        <v>0</v>
      </c>
    </row>
    <row r="239" spans="3:29" ht="15.75">
      <c r="C239" s="427" t="s">
        <v>201</v>
      </c>
      <c r="D239" s="440">
        <f>-SUM(F239:AC239)/1000</f>
        <v>319.1201860167846</v>
      </c>
      <c r="F239" s="430">
        <f t="shared" ref="F239:AC239" si="104">F197*F$183</f>
        <v>0</v>
      </c>
      <c r="G239" s="430">
        <f t="shared" si="104"/>
        <v>-6498.5505218293456</v>
      </c>
      <c r="H239" s="430">
        <f t="shared" si="104"/>
        <v>-24574.065537911571</v>
      </c>
      <c r="I239" s="430">
        <f t="shared" si="104"/>
        <v>-23228.489967519759</v>
      </c>
      <c r="J239" s="430">
        <f t="shared" si="104"/>
        <v>-21953.797705110246</v>
      </c>
      <c r="K239" s="430">
        <f t="shared" si="104"/>
        <v>-20746.473160464811</v>
      </c>
      <c r="L239" s="430">
        <f t="shared" si="104"/>
        <v>-19603.157357222863</v>
      </c>
      <c r="M239" s="430">
        <f t="shared" si="104"/>
        <v>-18520.642487546604</v>
      </c>
      <c r="N239" s="430">
        <f t="shared" si="104"/>
        <v>-17495.866508976222</v>
      </c>
      <c r="O239" s="430">
        <f t="shared" si="104"/>
        <v>-16459.810322097386</v>
      </c>
      <c r="P239" s="430">
        <f t="shared" si="104"/>
        <v>-15484.433208413122</v>
      </c>
      <c r="Q239" s="430">
        <f t="shared" si="104"/>
        <v>-14566.230014766965</v>
      </c>
      <c r="R239" s="430">
        <f t="shared" si="104"/>
        <v>-13701.894508855079</v>
      </c>
      <c r="S239" s="430">
        <f t="shared" si="104"/>
        <v>-12888.308353727749</v>
      </c>
      <c r="T239" s="430">
        <f t="shared" si="104"/>
        <v>-12122.530673528092</v>
      </c>
      <c r="U239" s="430">
        <f t="shared" si="104"/>
        <v>-11401.788180297286</v>
      </c>
      <c r="V239" s="430">
        <f t="shared" si="104"/>
        <v>-10723.465833092936</v>
      </c>
      <c r="W239" s="430">
        <f t="shared" si="104"/>
        <v>-10085.098002027773</v>
      </c>
      <c r="X239" s="430">
        <f t="shared" si="104"/>
        <v>-9484.3601111420194</v>
      </c>
      <c r="Y239" s="430">
        <f t="shared" si="104"/>
        <v>-8919.0607352748229</v>
      </c>
      <c r="Z239" s="430">
        <f t="shared" si="104"/>
        <v>-8387.1341273002927</v>
      </c>
      <c r="AA239" s="430">
        <f t="shared" si="104"/>
        <v>-7886.6331532429049</v>
      </c>
      <c r="AB239" s="430">
        <f t="shared" si="104"/>
        <v>-7415.722613887262</v>
      </c>
      <c r="AC239" s="430">
        <f t="shared" si="104"/>
        <v>-6972.6729325494225</v>
      </c>
    </row>
    <row r="240" spans="3:29" ht="15.75">
      <c r="C240" s="426"/>
      <c r="D240" s="441"/>
      <c r="F240" s="438">
        <f>SUM(F236:F239)</f>
        <v>-35046.728971962613</v>
      </c>
      <c r="G240" s="438">
        <f t="shared" ref="G240:AC240" si="105">SUM(G236:G239)</f>
        <v>-594104.45496763242</v>
      </c>
      <c r="H240" s="438">
        <f t="shared" si="105"/>
        <v>-24574.065537911571</v>
      </c>
      <c r="I240" s="438">
        <f t="shared" si="105"/>
        <v>-23228.489967519759</v>
      </c>
      <c r="J240" s="438">
        <f t="shared" si="105"/>
        <v>-21953.797705110246</v>
      </c>
      <c r="K240" s="438">
        <f t="shared" si="105"/>
        <v>-20746.473160464811</v>
      </c>
      <c r="L240" s="438">
        <f t="shared" si="105"/>
        <v>-19603.157357222863</v>
      </c>
      <c r="M240" s="438">
        <f t="shared" si="105"/>
        <v>-18520.642487546604</v>
      </c>
      <c r="N240" s="438">
        <f t="shared" si="105"/>
        <v>-17495.866508976222</v>
      </c>
      <c r="O240" s="438">
        <f t="shared" si="105"/>
        <v>-16459.810322097386</v>
      </c>
      <c r="P240" s="438">
        <f t="shared" si="105"/>
        <v>-15484.433208413122</v>
      </c>
      <c r="Q240" s="438">
        <f t="shared" si="105"/>
        <v>-14566.230014766965</v>
      </c>
      <c r="R240" s="438">
        <f t="shared" si="105"/>
        <v>-13701.894508855079</v>
      </c>
      <c r="S240" s="438">
        <f t="shared" si="105"/>
        <v>-12888.308353727749</v>
      </c>
      <c r="T240" s="438">
        <f t="shared" si="105"/>
        <v>-12122.530673528092</v>
      </c>
      <c r="U240" s="438">
        <f t="shared" si="105"/>
        <v>-11401.788180297286</v>
      </c>
      <c r="V240" s="438">
        <f t="shared" si="105"/>
        <v>-10723.465833092936</v>
      </c>
      <c r="W240" s="438">
        <f t="shared" si="105"/>
        <v>-10085.098002027773</v>
      </c>
      <c r="X240" s="438">
        <f t="shared" si="105"/>
        <v>-9484.3601111420194</v>
      </c>
      <c r="Y240" s="438">
        <f t="shared" si="105"/>
        <v>-8919.0607352748229</v>
      </c>
      <c r="Z240" s="438">
        <f t="shared" si="105"/>
        <v>-8387.1341273002927</v>
      </c>
      <c r="AA240" s="438">
        <f t="shared" si="105"/>
        <v>-7886.6331532429049</v>
      </c>
      <c r="AB240" s="438">
        <f t="shared" si="105"/>
        <v>-7415.722613887262</v>
      </c>
      <c r="AC240" s="438">
        <f t="shared" si="105"/>
        <v>-6972.6729325494225</v>
      </c>
    </row>
    <row r="241" spans="3:29" ht="15.75">
      <c r="C241" s="425" t="s">
        <v>0</v>
      </c>
      <c r="D241" s="442">
        <f>SUM(D242:D248)</f>
        <v>3019.375693201956</v>
      </c>
      <c r="F241" s="430"/>
      <c r="G241" s="430"/>
      <c r="H241" s="430"/>
      <c r="I241" s="430"/>
      <c r="J241" s="430"/>
      <c r="K241" s="430"/>
      <c r="L241" s="430"/>
      <c r="M241" s="430"/>
      <c r="N241" s="430"/>
      <c r="O241" s="430"/>
      <c r="P241" s="430"/>
      <c r="Q241" s="430"/>
      <c r="R241" s="430"/>
      <c r="S241" s="430"/>
      <c r="T241" s="430"/>
      <c r="U241" s="430"/>
      <c r="V241" s="430"/>
      <c r="W241" s="430"/>
      <c r="X241" s="430"/>
      <c r="Y241" s="430"/>
      <c r="Z241" s="430"/>
      <c r="AA241" s="430"/>
      <c r="AB241" s="430"/>
      <c r="AC241" s="430"/>
    </row>
    <row r="242" spans="3:29" ht="15.75">
      <c r="C242" s="427" t="s">
        <v>599</v>
      </c>
      <c r="D242" s="440">
        <f t="shared" ref="D242:D248" si="106">SUM(F242:AC242)/1000</f>
        <v>815.08666124075557</v>
      </c>
      <c r="F242" s="430">
        <f>F200*F$183</f>
        <v>0</v>
      </c>
      <c r="G242" s="430">
        <f t="shared" ref="G242:AC242" si="107">G200*G$183</f>
        <v>16275.431185367137</v>
      </c>
      <c r="H242" s="430">
        <f t="shared" si="107"/>
        <v>61675.502631182375</v>
      </c>
      <c r="I242" s="430">
        <f t="shared" si="107"/>
        <v>58422.579538154299</v>
      </c>
      <c r="J242" s="430">
        <f t="shared" si="107"/>
        <v>55334.742087630046</v>
      </c>
      <c r="K242" s="430">
        <f t="shared" si="107"/>
        <v>52404.121253193211</v>
      </c>
      <c r="L242" s="430">
        <f t="shared" si="107"/>
        <v>49623.181806883971</v>
      </c>
      <c r="M242" s="430">
        <f t="shared" si="107"/>
        <v>46984.711712928947</v>
      </c>
      <c r="N242" s="430">
        <f t="shared" si="107"/>
        <v>44481.81151548084</v>
      </c>
      <c r="O242" s="430">
        <f t="shared" si="107"/>
        <v>41939.467904834753</v>
      </c>
      <c r="P242" s="430">
        <f t="shared" si="107"/>
        <v>39541.133017700828</v>
      </c>
      <c r="Q242" s="430">
        <f t="shared" si="107"/>
        <v>37278.748858149833</v>
      </c>
      <c r="R242" s="430">
        <f t="shared" si="107"/>
        <v>35144.700827577442</v>
      </c>
      <c r="S242" s="430">
        <f t="shared" si="107"/>
        <v>33131.793890623419</v>
      </c>
      <c r="T242" s="430">
        <f t="shared" si="107"/>
        <v>31233.229979378088</v>
      </c>
      <c r="U242" s="430">
        <f t="shared" si="107"/>
        <v>29442.586574858833</v>
      </c>
      <c r="V242" s="430">
        <f t="shared" si="107"/>
        <v>27753.796407481743</v>
      </c>
      <c r="W242" s="430">
        <f t="shared" si="107"/>
        <v>26161.128220894534</v>
      </c>
      <c r="X242" s="430">
        <f t="shared" si="107"/>
        <v>24659.168546077952</v>
      </c>
      <c r="Y242" s="430">
        <f t="shared" si="107"/>
        <v>23242.804435067465</v>
      </c>
      <c r="Z242" s="430">
        <f t="shared" si="107"/>
        <v>21907.207105995843</v>
      </c>
      <c r="AA242" s="430">
        <f t="shared" si="107"/>
        <v>20647.816453412259</v>
      </c>
      <c r="AB242" s="430">
        <f t="shared" si="107"/>
        <v>19460.326379999024</v>
      </c>
      <c r="AC242" s="430">
        <f t="shared" si="107"/>
        <v>18340.670907882566</v>
      </c>
    </row>
    <row r="243" spans="3:29" ht="15.75">
      <c r="C243" s="427" t="s">
        <v>600</v>
      </c>
      <c r="D243" s="440">
        <f t="shared" si="106"/>
        <v>690.04405368995128</v>
      </c>
      <c r="F243" s="430">
        <f t="shared" ref="F243:AC243" si="108">F201*F$183</f>
        <v>0</v>
      </c>
      <c r="G243" s="430">
        <f t="shared" si="108"/>
        <v>14052.029115313357</v>
      </c>
      <c r="H243" s="430">
        <f t="shared" si="108"/>
        <v>53137.308582952355</v>
      </c>
      <c r="I243" s="430">
        <f t="shared" si="108"/>
        <v>50227.726357118183</v>
      </c>
      <c r="J243" s="430">
        <f t="shared" si="108"/>
        <v>47471.417434955496</v>
      </c>
      <c r="K243" s="430">
        <f t="shared" si="108"/>
        <v>44860.77994033241</v>
      </c>
      <c r="L243" s="430">
        <f t="shared" si="108"/>
        <v>42388.550648402372</v>
      </c>
      <c r="M243" s="430">
        <f t="shared" si="108"/>
        <v>40047.79321097795</v>
      </c>
      <c r="N243" s="430">
        <f t="shared" si="108"/>
        <v>37831.886473133418</v>
      </c>
      <c r="O243" s="430">
        <f t="shared" si="108"/>
        <v>35591.588170578449</v>
      </c>
      <c r="P243" s="430">
        <f t="shared" si="108"/>
        <v>33482.498219848443</v>
      </c>
      <c r="Q243" s="430">
        <f t="shared" si="108"/>
        <v>31497.037313212688</v>
      </c>
      <c r="R243" s="430">
        <f t="shared" si="108"/>
        <v>29628.056276029973</v>
      </c>
      <c r="S243" s="430">
        <f t="shared" si="108"/>
        <v>27868.812225951118</v>
      </c>
      <c r="T243" s="430">
        <f t="shared" si="108"/>
        <v>26212.946010573363</v>
      </c>
      <c r="U243" s="430">
        <f t="shared" si="108"/>
        <v>24654.46085830716</v>
      </c>
      <c r="V243" s="430">
        <f t="shared" si="108"/>
        <v>23187.702180281216</v>
      </c>
      <c r="W243" s="430">
        <f t="shared" si="108"/>
        <v>21807.338464053308</v>
      </c>
      <c r="X243" s="430">
        <f t="shared" si="108"/>
        <v>20508.343202718905</v>
      </c>
      <c r="Y243" s="430">
        <f t="shared" si="108"/>
        <v>19285.977805716779</v>
      </c>
      <c r="Z243" s="430">
        <f t="shared" si="108"/>
        <v>18135.775440226229</v>
      </c>
      <c r="AA243" s="430">
        <f t="shared" si="108"/>
        <v>17053.525754535196</v>
      </c>
      <c r="AB243" s="430">
        <f t="shared" si="108"/>
        <v>16035.260437137824</v>
      </c>
      <c r="AC243" s="430">
        <f t="shared" si="108"/>
        <v>15077.239567595201</v>
      </c>
    </row>
    <row r="244" spans="3:29" ht="15.75">
      <c r="C244" s="427" t="s">
        <v>202</v>
      </c>
      <c r="D244" s="440">
        <f t="shared" si="106"/>
        <v>115.59694880179312</v>
      </c>
      <c r="F244" s="430">
        <f t="shared" ref="F244:AC244" si="109">F202*F$183</f>
        <v>0</v>
      </c>
      <c r="G244" s="430">
        <f t="shared" si="109"/>
        <v>2273.2714464778132</v>
      </c>
      <c r="H244" s="430">
        <f t="shared" si="109"/>
        <v>8628.922037781962</v>
      </c>
      <c r="I244" s="430">
        <f t="shared" si="109"/>
        <v>8187.4814227748493</v>
      </c>
      <c r="J244" s="430">
        <f t="shared" si="109"/>
        <v>7767.726758556355</v>
      </c>
      <c r="K244" s="430">
        <f t="shared" si="109"/>
        <v>7368.6621660297651</v>
      </c>
      <c r="L244" s="430">
        <f t="shared" si="109"/>
        <v>6989.3319424158044</v>
      </c>
      <c r="M244" s="430">
        <f t="shared" si="109"/>
        <v>6628.8194142619568</v>
      </c>
      <c r="N244" s="430">
        <f t="shared" si="109"/>
        <v>6286.2457772969692</v>
      </c>
      <c r="O244" s="430">
        <f t="shared" si="109"/>
        <v>5936.9280725363014</v>
      </c>
      <c r="P244" s="430">
        <f t="shared" si="109"/>
        <v>5606.846576736617</v>
      </c>
      <c r="Q244" s="430">
        <f t="shared" si="109"/>
        <v>5294.9552846036731</v>
      </c>
      <c r="R244" s="430">
        <f t="shared" si="109"/>
        <v>5000.2640772151608</v>
      </c>
      <c r="S244" s="430">
        <f t="shared" si="109"/>
        <v>4721.835809908278</v>
      </c>
      <c r="T244" s="430">
        <f t="shared" si="109"/>
        <v>4458.7835463768743</v>
      </c>
      <c r="U244" s="430">
        <f t="shared" si="109"/>
        <v>4210.2679320602429</v>
      </c>
      <c r="V244" s="430">
        <f t="shared" si="109"/>
        <v>3975.4947001996316</v>
      </c>
      <c r="W244" s="430">
        <f t="shared" si="109"/>
        <v>3753.712304222624</v>
      </c>
      <c r="X244" s="430">
        <f t="shared" si="109"/>
        <v>3544.2096703902544</v>
      </c>
      <c r="Y244" s="430">
        <f t="shared" si="109"/>
        <v>3346.3140649066663</v>
      </c>
      <c r="Z244" s="430">
        <f t="shared" si="109"/>
        <v>3159.3890699467738</v>
      </c>
      <c r="AA244" s="430">
        <f t="shared" si="109"/>
        <v>2982.8326633037314</v>
      </c>
      <c r="AB244" s="430">
        <f t="shared" si="109"/>
        <v>2816.075396595194</v>
      </c>
      <c r="AC244" s="430">
        <f t="shared" si="109"/>
        <v>2658.5786671956093</v>
      </c>
    </row>
    <row r="245" spans="3:29" ht="15.75">
      <c r="C245" s="427" t="s">
        <v>203</v>
      </c>
      <c r="D245" s="440">
        <f t="shared" si="106"/>
        <v>40.271968988684925</v>
      </c>
      <c r="F245" s="430">
        <f t="shared" ref="F245:AC245" si="110">F203*F$183</f>
        <v>0</v>
      </c>
      <c r="G245" s="430">
        <f t="shared" si="110"/>
        <v>820.09674271357017</v>
      </c>
      <c r="H245" s="430">
        <f t="shared" si="110"/>
        <v>3101.1701817466164</v>
      </c>
      <c r="I245" s="430">
        <f t="shared" si="110"/>
        <v>2931.362754898661</v>
      </c>
      <c r="J245" s="430">
        <f t="shared" si="110"/>
        <v>2770.500579733181</v>
      </c>
      <c r="K245" s="430">
        <f t="shared" si="110"/>
        <v>2618.1399997644726</v>
      </c>
      <c r="L245" s="430">
        <f t="shared" si="110"/>
        <v>2473.8571226856434</v>
      </c>
      <c r="M245" s="430">
        <f t="shared" si="110"/>
        <v>2337.2471331843844</v>
      </c>
      <c r="N245" s="430">
        <f t="shared" si="110"/>
        <v>2207.9236110830125</v>
      </c>
      <c r="O245" s="430">
        <f t="shared" si="110"/>
        <v>2077.1765619874559</v>
      </c>
      <c r="P245" s="430">
        <f t="shared" si="110"/>
        <v>1954.0870220719219</v>
      </c>
      <c r="Q245" s="430">
        <f t="shared" si="110"/>
        <v>1838.2126519752437</v>
      </c>
      <c r="R245" s="430">
        <f t="shared" si="110"/>
        <v>1729.1362155254612</v>
      </c>
      <c r="S245" s="430">
        <f t="shared" si="110"/>
        <v>1626.4641883563997</v>
      </c>
      <c r="T245" s="430">
        <f t="shared" si="110"/>
        <v>1529.825441136549</v>
      </c>
      <c r="U245" s="430">
        <f t="shared" si="110"/>
        <v>1438.8699936027733</v>
      </c>
      <c r="V245" s="430">
        <f t="shared" si="110"/>
        <v>1353.267835770273</v>
      </c>
      <c r="W245" s="430">
        <f t="shared" si="110"/>
        <v>1272.7078128619191</v>
      </c>
      <c r="X245" s="430">
        <f t="shared" si="110"/>
        <v>1196.8965706648914</v>
      </c>
      <c r="Y245" s="430">
        <f t="shared" si="110"/>
        <v>1125.5575581805817</v>
      </c>
      <c r="Z245" s="430">
        <f t="shared" si="110"/>
        <v>1058.4300845851635</v>
      </c>
      <c r="AA245" s="430">
        <f t="shared" si="110"/>
        <v>995.26842766326126</v>
      </c>
      <c r="AB245" s="430">
        <f t="shared" si="110"/>
        <v>935.84099101599804</v>
      </c>
      <c r="AC245" s="430">
        <f t="shared" si="110"/>
        <v>879.92950747748648</v>
      </c>
    </row>
    <row r="246" spans="3:29" ht="15.75">
      <c r="C246" s="427" t="s">
        <v>204</v>
      </c>
      <c r="D246" s="440">
        <f t="shared" si="106"/>
        <v>172.0424510819457</v>
      </c>
      <c r="F246" s="430">
        <f t="shared" ref="F246:AC246" si="111">F204*F$183</f>
        <v>0</v>
      </c>
      <c r="G246" s="430">
        <f t="shared" si="111"/>
        <v>4533.6442958590187</v>
      </c>
      <c r="H246" s="430">
        <f t="shared" si="111"/>
        <v>16471.964010875978</v>
      </c>
      <c r="I246" s="430">
        <f t="shared" si="111"/>
        <v>14944.448706361676</v>
      </c>
      <c r="J246" s="430">
        <f t="shared" si="111"/>
        <v>13627.518031381307</v>
      </c>
      <c r="K246" s="430">
        <f t="shared" si="111"/>
        <v>12357.274518349859</v>
      </c>
      <c r="L246" s="430">
        <f t="shared" si="111"/>
        <v>11164.142824610264</v>
      </c>
      <c r="M246" s="430">
        <f t="shared" si="111"/>
        <v>10069.574543746221</v>
      </c>
      <c r="N246" s="430">
        <f t="shared" si="111"/>
        <v>9065.9258196916999</v>
      </c>
      <c r="O246" s="430">
        <f t="shared" si="111"/>
        <v>8223.5341937463709</v>
      </c>
      <c r="P246" s="430">
        <f t="shared" si="111"/>
        <v>7678.5386224236863</v>
      </c>
      <c r="Q246" s="430">
        <f t="shared" si="111"/>
        <v>7168.9550482284321</v>
      </c>
      <c r="R246" s="430">
        <f t="shared" si="111"/>
        <v>6692.5283991466586</v>
      </c>
      <c r="S246" s="430">
        <f t="shared" si="111"/>
        <v>6247.1441081697503</v>
      </c>
      <c r="T246" s="430">
        <f t="shared" si="111"/>
        <v>5830.8195766197268</v>
      </c>
      <c r="U246" s="430">
        <f t="shared" si="111"/>
        <v>5441.6961402712686</v>
      </c>
      <c r="V246" s="430">
        <f t="shared" si="111"/>
        <v>5078.0315098582578</v>
      </c>
      <c r="W246" s="430">
        <f t="shared" si="111"/>
        <v>4738.192659063121</v>
      </c>
      <c r="X246" s="430">
        <f t="shared" si="111"/>
        <v>4420.6491345256482</v>
      </c>
      <c r="Y246" s="430">
        <f t="shared" si="111"/>
        <v>4123.9667637764696</v>
      </c>
      <c r="Z246" s="430">
        <f t="shared" si="111"/>
        <v>3876.4811653092129</v>
      </c>
      <c r="AA246" s="430">
        <f t="shared" si="111"/>
        <v>3643.712342603862</v>
      </c>
      <c r="AB246" s="430">
        <f t="shared" si="111"/>
        <v>3424.7949306582836</v>
      </c>
      <c r="AC246" s="430">
        <f t="shared" si="111"/>
        <v>3218.9137366689392</v>
      </c>
    </row>
    <row r="247" spans="3:29" ht="15.75">
      <c r="C247" s="427" t="s">
        <v>601</v>
      </c>
      <c r="D247" s="440">
        <f t="shared" si="106"/>
        <v>0.70603809566175568</v>
      </c>
      <c r="F247" s="430">
        <f t="shared" ref="F247:AC247" si="112">F205*F$183</f>
        <v>0</v>
      </c>
      <c r="G247" s="430">
        <f t="shared" si="112"/>
        <v>14.377731137173425</v>
      </c>
      <c r="H247" s="430">
        <f t="shared" si="112"/>
        <v>54.368940591372372</v>
      </c>
      <c r="I247" s="430">
        <f t="shared" si="112"/>
        <v>51.391919221629102</v>
      </c>
      <c r="J247" s="430">
        <f t="shared" si="112"/>
        <v>48.57172376881293</v>
      </c>
      <c r="K247" s="430">
        <f t="shared" si="112"/>
        <v>45.900576158293788</v>
      </c>
      <c r="L247" s="430">
        <f t="shared" si="112"/>
        <v>43.37104481608506</v>
      </c>
      <c r="M247" s="430">
        <f t="shared" si="112"/>
        <v>40.976032621301613</v>
      </c>
      <c r="N247" s="430">
        <f t="shared" si="112"/>
        <v>38.708764951961236</v>
      </c>
      <c r="O247" s="430">
        <f t="shared" si="112"/>
        <v>36.416540363122351</v>
      </c>
      <c r="P247" s="430">
        <f t="shared" si="112"/>
        <v>34.25856531148623</v>
      </c>
      <c r="Q247" s="430">
        <f t="shared" si="112"/>
        <v>32.227084813921032</v>
      </c>
      <c r="R247" s="430">
        <f t="shared" si="112"/>
        <v>30.31478399013432</v>
      </c>
      <c r="S247" s="430">
        <f t="shared" si="112"/>
        <v>28.514763669286747</v>
      </c>
      <c r="T247" s="430">
        <f t="shared" si="112"/>
        <v>26.820517304689787</v>
      </c>
      <c r="U247" s="430">
        <f t="shared" si="112"/>
        <v>25.225909129836126</v>
      </c>
      <c r="V247" s="430">
        <f t="shared" si="112"/>
        <v>23.725153492147381</v>
      </c>
      <c r="W247" s="430">
        <f t="shared" si="112"/>
        <v>22.312795303833752</v>
      </c>
      <c r="X247" s="430">
        <f t="shared" si="112"/>
        <v>20.983691552150272</v>
      </c>
      <c r="Y247" s="430">
        <f t="shared" si="112"/>
        <v>19.732993814104145</v>
      </c>
      <c r="Z247" s="430">
        <f t="shared" si="112"/>
        <v>18.556131723323084</v>
      </c>
      <c r="AA247" s="430">
        <f t="shared" si="112"/>
        <v>17.448797339337276</v>
      </c>
      <c r="AB247" s="430">
        <f t="shared" si="112"/>
        <v>16.406930371961476</v>
      </c>
      <c r="AC247" s="430">
        <f t="shared" si="112"/>
        <v>15.426704215792014</v>
      </c>
    </row>
    <row r="248" spans="3:29" ht="15.75">
      <c r="C248" s="427" t="s">
        <v>205</v>
      </c>
      <c r="D248" s="440">
        <f t="shared" si="106"/>
        <v>1185.6275713031637</v>
      </c>
      <c r="F248" s="430">
        <f t="shared" ref="F248:AC248" si="113">F206*F$183</f>
        <v>0</v>
      </c>
      <c r="G248" s="430">
        <f t="shared" si="113"/>
        <v>24144.071762925672</v>
      </c>
      <c r="H248" s="430">
        <f t="shared" si="113"/>
        <v>91300.052197971716</v>
      </c>
      <c r="I248" s="430">
        <f t="shared" si="113"/>
        <v>86300.833829991068</v>
      </c>
      <c r="J248" s="430">
        <f t="shared" si="113"/>
        <v>81564.968292609992</v>
      </c>
      <c r="K248" s="430">
        <f t="shared" si="113"/>
        <v>77079.394109698915</v>
      </c>
      <c r="L248" s="430">
        <f t="shared" si="113"/>
        <v>72831.631672762451</v>
      </c>
      <c r="M248" s="430">
        <f t="shared" si="113"/>
        <v>68809.76300988096</v>
      </c>
      <c r="N248" s="430">
        <f t="shared" si="113"/>
        <v>65002.411711400811</v>
      </c>
      <c r="O248" s="430">
        <f t="shared" si="113"/>
        <v>61153.151042825732</v>
      </c>
      <c r="P248" s="430">
        <f t="shared" si="113"/>
        <v>57529.331400337382</v>
      </c>
      <c r="Q248" s="430">
        <f t="shared" si="113"/>
        <v>54117.930084632935</v>
      </c>
      <c r="R248" s="430">
        <f t="shared" si="113"/>
        <v>50906.66344726798</v>
      </c>
      <c r="S248" s="430">
        <f t="shared" si="113"/>
        <v>47883.945927609857</v>
      </c>
      <c r="T248" s="430">
        <f t="shared" si="113"/>
        <v>45038.851286415527</v>
      </c>
      <c r="U248" s="430">
        <f t="shared" si="113"/>
        <v>42361.075923940392</v>
      </c>
      <c r="V248" s="430">
        <f t="shared" si="113"/>
        <v>39840.904175750649</v>
      </c>
      <c r="W248" s="430">
        <f t="shared" si="113"/>
        <v>37469.175484466767</v>
      </c>
      <c r="X248" s="430">
        <f t="shared" si="113"/>
        <v>35237.253350518149</v>
      </c>
      <c r="Y248" s="430">
        <f t="shared" si="113"/>
        <v>33136.995969641073</v>
      </c>
      <c r="Z248" s="430">
        <f t="shared" si="113"/>
        <v>31160.728469310638</v>
      </c>
      <c r="AA248" s="430">
        <f t="shared" si="113"/>
        <v>29301.216660567468</v>
      </c>
      <c r="AB248" s="430">
        <f t="shared" si="113"/>
        <v>27551.642225787189</v>
      </c>
      <c r="AC248" s="430">
        <f t="shared" si="113"/>
        <v>25905.579266850476</v>
      </c>
    </row>
    <row r="249" spans="3:29" ht="15.75">
      <c r="C249" s="426"/>
      <c r="D249" s="441"/>
      <c r="F249" s="437">
        <f>SUM(F242:F248)</f>
        <v>0</v>
      </c>
      <c r="G249" s="437">
        <f t="shared" ref="G249:AC249" si="114">SUM(G242:G248)</f>
        <v>62112.92227979374</v>
      </c>
      <c r="H249" s="437">
        <f t="shared" si="114"/>
        <v>234369.28858310235</v>
      </c>
      <c r="I249" s="437">
        <f t="shared" si="114"/>
        <v>221065.82452852034</v>
      </c>
      <c r="J249" s="437">
        <f t="shared" si="114"/>
        <v>208585.44490863517</v>
      </c>
      <c r="K249" s="437">
        <f t="shared" si="114"/>
        <v>196734.27256352693</v>
      </c>
      <c r="L249" s="437">
        <f t="shared" si="114"/>
        <v>185514.06706257659</v>
      </c>
      <c r="M249" s="437">
        <f t="shared" si="114"/>
        <v>174918.88505760173</v>
      </c>
      <c r="N249" s="437">
        <f t="shared" si="114"/>
        <v>164914.91367303871</v>
      </c>
      <c r="O249" s="437">
        <f t="shared" si="114"/>
        <v>154958.26248687218</v>
      </c>
      <c r="P249" s="437">
        <f t="shared" si="114"/>
        <v>145826.69342443036</v>
      </c>
      <c r="Q249" s="437">
        <f t="shared" si="114"/>
        <v>137228.0663256167</v>
      </c>
      <c r="R249" s="437">
        <f t="shared" si="114"/>
        <v>129131.66402675281</v>
      </c>
      <c r="S249" s="437">
        <f t="shared" si="114"/>
        <v>121508.51091428811</v>
      </c>
      <c r="T249" s="437">
        <f t="shared" si="114"/>
        <v>114331.2763578048</v>
      </c>
      <c r="U249" s="437">
        <f t="shared" si="114"/>
        <v>107574.18333217051</v>
      </c>
      <c r="V249" s="437">
        <f t="shared" si="114"/>
        <v>101212.92196283392</v>
      </c>
      <c r="W249" s="437">
        <f t="shared" si="114"/>
        <v>95224.567740866099</v>
      </c>
      <c r="X249" s="437">
        <f t="shared" si="114"/>
        <v>89587.50416644795</v>
      </c>
      <c r="Y249" s="437">
        <f t="shared" si="114"/>
        <v>84281.34959110315</v>
      </c>
      <c r="Z249" s="437">
        <f t="shared" si="114"/>
        <v>79316.567467097178</v>
      </c>
      <c r="AA249" s="437">
        <f t="shared" si="114"/>
        <v>74641.821099425113</v>
      </c>
      <c r="AB249" s="437">
        <f t="shared" si="114"/>
        <v>70240.347291565471</v>
      </c>
      <c r="AC249" s="437">
        <f t="shared" si="114"/>
        <v>66096.338357886067</v>
      </c>
    </row>
    <row r="250" spans="3:29" ht="15.75">
      <c r="C250" s="425" t="s">
        <v>184</v>
      </c>
      <c r="D250" s="442">
        <f>NPV(0.07,F209:AC209)/1000</f>
        <v>2077.6028737674055</v>
      </c>
    </row>
    <row r="251" spans="3:29" ht="15.75">
      <c r="C251" s="425" t="s">
        <v>185</v>
      </c>
      <c r="D251" s="443">
        <f>IRR(F251:AC251)</f>
        <v>0.30551055194967058</v>
      </c>
      <c r="F251" s="430">
        <f>F240+F249</f>
        <v>-35046.728971962613</v>
      </c>
      <c r="G251" s="430">
        <f t="shared" ref="G251:AC251" si="115">G240+G249</f>
        <v>-531991.53268783865</v>
      </c>
      <c r="H251" s="430">
        <f t="shared" si="115"/>
        <v>209795.22304519077</v>
      </c>
      <c r="I251" s="430">
        <f t="shared" si="115"/>
        <v>197837.33456100058</v>
      </c>
      <c r="J251" s="430">
        <f t="shared" si="115"/>
        <v>186631.64720352492</v>
      </c>
      <c r="K251" s="430">
        <f t="shared" si="115"/>
        <v>175987.79940306212</v>
      </c>
      <c r="L251" s="430">
        <f t="shared" si="115"/>
        <v>165910.90970535373</v>
      </c>
      <c r="M251" s="430">
        <f t="shared" si="115"/>
        <v>156398.24257005512</v>
      </c>
      <c r="N251" s="430">
        <f t="shared" si="115"/>
        <v>147419.0471640625</v>
      </c>
      <c r="O251" s="430">
        <f t="shared" si="115"/>
        <v>138498.45216477479</v>
      </c>
      <c r="P251" s="430">
        <f t="shared" si="115"/>
        <v>130342.26021601724</v>
      </c>
      <c r="Q251" s="430">
        <f t="shared" si="115"/>
        <v>122661.83631084974</v>
      </c>
      <c r="R251" s="430">
        <f t="shared" si="115"/>
        <v>115429.76951789773</v>
      </c>
      <c r="S251" s="430">
        <f t="shared" si="115"/>
        <v>108620.20256056037</v>
      </c>
      <c r="T251" s="430">
        <f t="shared" si="115"/>
        <v>102208.74568427671</v>
      </c>
      <c r="U251" s="430">
        <f t="shared" si="115"/>
        <v>96172.395151873221</v>
      </c>
      <c r="V251" s="430">
        <f t="shared" si="115"/>
        <v>90489.456129740982</v>
      </c>
      <c r="W251" s="430">
        <f t="shared" si="115"/>
        <v>85139.469738838321</v>
      </c>
      <c r="X251" s="430">
        <f t="shared" si="115"/>
        <v>80103.144055305936</v>
      </c>
      <c r="Y251" s="430">
        <f t="shared" si="115"/>
        <v>75362.28885582833</v>
      </c>
      <c r="Z251" s="430">
        <f t="shared" si="115"/>
        <v>70929.433339796888</v>
      </c>
      <c r="AA251" s="430">
        <f t="shared" si="115"/>
        <v>66755.18794618221</v>
      </c>
      <c r="AB251" s="430">
        <f t="shared" si="115"/>
        <v>62824.624677678206</v>
      </c>
      <c r="AC251" s="430">
        <f t="shared" si="115"/>
        <v>59123.665425336643</v>
      </c>
    </row>
    <row r="252" spans="3:29" ht="15.75">
      <c r="C252" s="425" t="s">
        <v>186</v>
      </c>
      <c r="D252" s="444">
        <f>SUM(D242:D248)/SUM(D236:D239)</f>
        <v>3.2060552512173999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Z85"/>
  <sheetViews>
    <sheetView zoomScale="75" zoomScaleNormal="75" workbookViewId="0">
      <selection activeCell="E25" sqref="E25"/>
    </sheetView>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7109375" bestFit="1" customWidth="1"/>
    <col min="9" max="9" width="15.42578125" style="74" customWidth="1"/>
    <col min="10" max="10" width="10.42578125" customWidth="1"/>
    <col min="11" max="11" width="12.140625" bestFit="1" customWidth="1"/>
    <col min="12" max="12" width="11.7109375" bestFit="1" customWidth="1"/>
    <col min="13" max="26" width="9.85546875" customWidth="1"/>
  </cols>
  <sheetData>
    <row r="1" spans="1:26">
      <c r="G1"/>
      <c r="I1"/>
    </row>
    <row r="2" spans="1:26">
      <c r="A2" s="3" t="s">
        <v>406</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245</v>
      </c>
      <c r="X3" s="72" t="s">
        <v>246</v>
      </c>
      <c r="Y3" s="72" t="s">
        <v>247</v>
      </c>
      <c r="Z3" s="72" t="s">
        <v>248</v>
      </c>
    </row>
    <row r="4" spans="1:26">
      <c r="A4" s="5" t="s">
        <v>367</v>
      </c>
      <c r="B4" s="53"/>
      <c r="G4"/>
      <c r="I4"/>
    </row>
    <row r="5" spans="1:26">
      <c r="A5" s="70" t="s">
        <v>366</v>
      </c>
      <c r="B5" s="70" t="s">
        <v>366</v>
      </c>
      <c r="C5" s="34">
        <v>0</v>
      </c>
      <c r="D5" s="34">
        <f>D60*0.25</f>
        <v>83330.981401877376</v>
      </c>
      <c r="E5" s="34">
        <f t="shared" ref="E5:Z5" si="0">E60</f>
        <v>337171.44474441936</v>
      </c>
      <c r="F5" s="34">
        <f t="shared" si="0"/>
        <v>341018.96388132917</v>
      </c>
      <c r="G5" s="34">
        <f t="shared" si="0"/>
        <v>344866.48301823897</v>
      </c>
      <c r="H5" s="34">
        <f t="shared" si="0"/>
        <v>348714.00215514877</v>
      </c>
      <c r="I5" s="34">
        <f t="shared" si="0"/>
        <v>352561.52129205863</v>
      </c>
      <c r="J5" s="34">
        <f t="shared" si="0"/>
        <v>356409.04042896844</v>
      </c>
      <c r="K5" s="34">
        <f t="shared" si="0"/>
        <v>360256.55956587818</v>
      </c>
      <c r="L5" s="34">
        <f t="shared" si="0"/>
        <v>362647.79793174169</v>
      </c>
      <c r="M5" s="34">
        <f t="shared" si="0"/>
        <v>365039.0362976052</v>
      </c>
      <c r="N5" s="34">
        <f t="shared" si="0"/>
        <v>367430.27466346859</v>
      </c>
      <c r="O5" s="34">
        <f t="shared" si="0"/>
        <v>369821.51302933216</v>
      </c>
      <c r="P5" s="34">
        <f t="shared" si="0"/>
        <v>372212.75139519549</v>
      </c>
      <c r="Q5" s="34">
        <f t="shared" si="0"/>
        <v>374603.989761059</v>
      </c>
      <c r="R5" s="34">
        <f t="shared" si="0"/>
        <v>376995.22812692251</v>
      </c>
      <c r="S5" s="34">
        <f t="shared" si="0"/>
        <v>379386.46649278596</v>
      </c>
      <c r="T5" s="34">
        <f t="shared" si="0"/>
        <v>381777.70485864941</v>
      </c>
      <c r="U5" s="34">
        <f t="shared" si="0"/>
        <v>384168.94322451291</v>
      </c>
      <c r="V5" s="34">
        <f t="shared" si="0"/>
        <v>386560.18159037631</v>
      </c>
      <c r="W5" s="34">
        <f t="shared" si="0"/>
        <v>388951.41995623976</v>
      </c>
      <c r="X5" s="34">
        <f t="shared" si="0"/>
        <v>391342.65832210321</v>
      </c>
      <c r="Y5" s="34">
        <f t="shared" si="0"/>
        <v>393733.89668796671</v>
      </c>
      <c r="Z5" s="34">
        <f t="shared" si="0"/>
        <v>396125.13505383022</v>
      </c>
    </row>
    <row r="6" spans="1:26">
      <c r="A6" s="70" t="s">
        <v>424</v>
      </c>
      <c r="B6" s="54" t="s">
        <v>425</v>
      </c>
      <c r="C6">
        <f>C62</f>
        <v>0</v>
      </c>
      <c r="D6" s="34">
        <f>D62*0.25</f>
        <v>1666.6196280375475</v>
      </c>
      <c r="E6" s="34">
        <f t="shared" ref="E6:Z6" si="1">E62</f>
        <v>6743.4288948883877</v>
      </c>
      <c r="F6" s="34">
        <f t="shared" si="1"/>
        <v>6820.3792776265836</v>
      </c>
      <c r="G6" s="34">
        <f t="shared" si="1"/>
        <v>6897.3296603647796</v>
      </c>
      <c r="H6" s="34">
        <f t="shared" si="1"/>
        <v>6974.2800431029755</v>
      </c>
      <c r="I6" s="34">
        <f t="shared" si="1"/>
        <v>7051.2304258411732</v>
      </c>
      <c r="J6" s="34">
        <f t="shared" si="1"/>
        <v>7128.1808085793691</v>
      </c>
      <c r="K6" s="34">
        <f t="shared" si="1"/>
        <v>7205.1311913175641</v>
      </c>
      <c r="L6" s="34">
        <f t="shared" si="1"/>
        <v>7252.9559586348341</v>
      </c>
      <c r="M6" s="34">
        <f t="shared" si="1"/>
        <v>7300.7807259521041</v>
      </c>
      <c r="N6" s="34">
        <f t="shared" si="1"/>
        <v>7348.6054932693723</v>
      </c>
      <c r="O6" s="34">
        <f t="shared" si="1"/>
        <v>7396.4302605866433</v>
      </c>
      <c r="P6" s="34">
        <f t="shared" si="1"/>
        <v>7444.2550279039096</v>
      </c>
      <c r="Q6" s="34">
        <f t="shared" si="1"/>
        <v>7492.0797952211797</v>
      </c>
      <c r="R6" s="34">
        <f t="shared" si="1"/>
        <v>7539.9045625384506</v>
      </c>
      <c r="S6" s="34">
        <f t="shared" si="1"/>
        <v>7587.7293298557197</v>
      </c>
      <c r="T6" s="34">
        <f t="shared" si="1"/>
        <v>7635.5540971729879</v>
      </c>
      <c r="U6" s="34">
        <f t="shared" si="1"/>
        <v>7683.3788644902588</v>
      </c>
      <c r="V6" s="34">
        <f t="shared" si="1"/>
        <v>7731.2036318075261</v>
      </c>
      <c r="W6" s="34">
        <f t="shared" si="1"/>
        <v>7779.0283991247952</v>
      </c>
      <c r="X6" s="34">
        <f t="shared" si="1"/>
        <v>7826.8531664420643</v>
      </c>
      <c r="Y6" s="34">
        <f t="shared" si="1"/>
        <v>7874.6779337593343</v>
      </c>
      <c r="Z6" s="34">
        <f t="shared" si="1"/>
        <v>7922.5027010766044</v>
      </c>
    </row>
    <row r="7" spans="1:26">
      <c r="A7" s="70"/>
      <c r="B7" s="78" t="s">
        <v>418</v>
      </c>
      <c r="C7">
        <f>C63</f>
        <v>0</v>
      </c>
      <c r="D7" s="34">
        <f>D63*0.25</f>
        <v>833.30981401877375</v>
      </c>
      <c r="E7" s="34">
        <f t="shared" ref="E7:Z7" si="2">E63</f>
        <v>3371.7144474441939</v>
      </c>
      <c r="F7" s="34">
        <f t="shared" si="2"/>
        <v>3410.1896388132918</v>
      </c>
      <c r="G7" s="34">
        <f t="shared" si="2"/>
        <v>3448.6648301823898</v>
      </c>
      <c r="H7" s="34">
        <f t="shared" si="2"/>
        <v>3487.1400215514877</v>
      </c>
      <c r="I7" s="34">
        <f t="shared" si="2"/>
        <v>3525.6152129205866</v>
      </c>
      <c r="J7" s="34">
        <f t="shared" si="2"/>
        <v>3564.0904042896846</v>
      </c>
      <c r="K7" s="34">
        <f t="shared" si="2"/>
        <v>3602.5655956587821</v>
      </c>
      <c r="L7" s="34">
        <f t="shared" si="2"/>
        <v>3626.4779793174171</v>
      </c>
      <c r="M7" s="34">
        <f t="shared" si="2"/>
        <v>3650.3903629760521</v>
      </c>
      <c r="N7" s="34">
        <f t="shared" si="2"/>
        <v>3674.3027466346862</v>
      </c>
      <c r="O7" s="34">
        <f t="shared" si="2"/>
        <v>3698.2151302933216</v>
      </c>
      <c r="P7" s="34">
        <f t="shared" si="2"/>
        <v>3722.1275139519548</v>
      </c>
      <c r="Q7" s="34">
        <f t="shared" si="2"/>
        <v>3746.0398976105898</v>
      </c>
      <c r="R7" s="34">
        <f t="shared" si="2"/>
        <v>3769.9522812692253</v>
      </c>
      <c r="S7" s="34">
        <f t="shared" si="2"/>
        <v>3793.8646649278598</v>
      </c>
      <c r="T7" s="34">
        <f t="shared" si="2"/>
        <v>3817.7770485864939</v>
      </c>
      <c r="U7" s="34">
        <f t="shared" si="2"/>
        <v>3841.6894322451294</v>
      </c>
      <c r="V7" s="34">
        <f t="shared" si="2"/>
        <v>3865.6018159037631</v>
      </c>
      <c r="W7" s="34">
        <f t="shared" si="2"/>
        <v>3889.5141995623976</v>
      </c>
      <c r="X7" s="34">
        <f t="shared" si="2"/>
        <v>3913.4265832210322</v>
      </c>
      <c r="Y7" s="34">
        <f t="shared" si="2"/>
        <v>3937.3389668796672</v>
      </c>
      <c r="Z7" s="34">
        <f t="shared" si="2"/>
        <v>3961.2513505383022</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277</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366</v>
      </c>
      <c r="B11" s="70" t="s">
        <v>366</v>
      </c>
      <c r="C11" s="208">
        <v>0</v>
      </c>
      <c r="D11" s="34">
        <f>D68*0.25</f>
        <v>10083.910863008188</v>
      </c>
      <c r="E11" s="34">
        <f t="shared" ref="E11:Z11" si="3">E68</f>
        <v>40801.233072695053</v>
      </c>
      <c r="F11" s="34">
        <f t="shared" si="3"/>
        <v>41266.822693357346</v>
      </c>
      <c r="G11" s="34">
        <f t="shared" si="3"/>
        <v>41732.412314019639</v>
      </c>
      <c r="H11" s="34">
        <f t="shared" si="3"/>
        <v>42198.001934681932</v>
      </c>
      <c r="I11" s="34">
        <f t="shared" si="3"/>
        <v>42663.591555344232</v>
      </c>
      <c r="J11" s="34">
        <f t="shared" si="3"/>
        <v>43129.181176006517</v>
      </c>
      <c r="K11" s="34">
        <f t="shared" si="3"/>
        <v>43594.770796668818</v>
      </c>
      <c r="L11" s="34">
        <f t="shared" si="3"/>
        <v>43884.135377859609</v>
      </c>
      <c r="M11" s="34">
        <f t="shared" si="3"/>
        <v>44173.499959050416</v>
      </c>
      <c r="N11" s="34">
        <f t="shared" si="3"/>
        <v>44462.864540241215</v>
      </c>
      <c r="O11" s="34">
        <f t="shared" si="3"/>
        <v>44752.229121432021</v>
      </c>
      <c r="P11" s="34">
        <f t="shared" si="3"/>
        <v>45041.593702622806</v>
      </c>
      <c r="Q11" s="34">
        <f t="shared" si="3"/>
        <v>45330.958283813612</v>
      </c>
      <c r="R11" s="34">
        <f t="shared" si="3"/>
        <v>45620.322865004411</v>
      </c>
      <c r="S11" s="34">
        <f t="shared" si="3"/>
        <v>45909.68744619521</v>
      </c>
      <c r="T11" s="34">
        <f t="shared" si="3"/>
        <v>46199.052027386017</v>
      </c>
      <c r="U11" s="34">
        <f t="shared" si="3"/>
        <v>46488.416608576808</v>
      </c>
      <c r="V11" s="34">
        <f t="shared" si="3"/>
        <v>46777.781189767607</v>
      </c>
      <c r="W11" s="34">
        <f t="shared" si="3"/>
        <v>47067.145770958414</v>
      </c>
      <c r="X11" s="34">
        <f t="shared" si="3"/>
        <v>47356.510352149198</v>
      </c>
      <c r="Y11" s="34">
        <f t="shared" si="3"/>
        <v>47645.874933340005</v>
      </c>
      <c r="Z11" s="34">
        <f t="shared" si="3"/>
        <v>47935.239514530804</v>
      </c>
    </row>
    <row r="12" spans="1:26">
      <c r="A12" s="70" t="s">
        <v>415</v>
      </c>
      <c r="B12" s="54" t="s">
        <v>433</v>
      </c>
      <c r="C12">
        <f>C69</f>
        <v>0</v>
      </c>
      <c r="D12" s="34">
        <f>D69*0.25</f>
        <v>1008.3910863008189</v>
      </c>
      <c r="E12" s="34">
        <f t="shared" ref="E12:Z12" si="4">E69</f>
        <v>4080.1233072695054</v>
      </c>
      <c r="F12" s="34">
        <f t="shared" si="4"/>
        <v>4126.6822693357344</v>
      </c>
      <c r="G12" s="34">
        <f t="shared" si="4"/>
        <v>4173.2412314019639</v>
      </c>
      <c r="H12" s="34">
        <f t="shared" si="4"/>
        <v>4219.8001934681934</v>
      </c>
      <c r="I12" s="34">
        <f t="shared" si="4"/>
        <v>4266.3591555344237</v>
      </c>
      <c r="J12" s="34">
        <f t="shared" si="4"/>
        <v>4312.9181176006523</v>
      </c>
      <c r="K12" s="34">
        <f t="shared" si="4"/>
        <v>4359.4770796668818</v>
      </c>
      <c r="L12" s="34">
        <f t="shared" si="4"/>
        <v>4388.4135377859611</v>
      </c>
      <c r="M12" s="34">
        <f t="shared" si="4"/>
        <v>4417.3499959050414</v>
      </c>
      <c r="N12" s="34">
        <f t="shared" si="4"/>
        <v>4446.2864540241217</v>
      </c>
      <c r="O12" s="34">
        <f t="shared" si="4"/>
        <v>4475.2229121432019</v>
      </c>
      <c r="P12" s="34">
        <f t="shared" si="4"/>
        <v>4504.1593702622804</v>
      </c>
      <c r="Q12" s="34">
        <f t="shared" si="4"/>
        <v>4533.0958283813616</v>
      </c>
      <c r="R12" s="34">
        <f t="shared" si="4"/>
        <v>4562.0322865004409</v>
      </c>
      <c r="S12" s="34">
        <f t="shared" si="4"/>
        <v>4590.9687446195212</v>
      </c>
      <c r="T12" s="34">
        <f t="shared" si="4"/>
        <v>4619.9052027386015</v>
      </c>
      <c r="U12" s="34">
        <f t="shared" si="4"/>
        <v>4648.8416608576808</v>
      </c>
      <c r="V12" s="34">
        <f t="shared" si="4"/>
        <v>4677.7781189767611</v>
      </c>
      <c r="W12" s="34">
        <f t="shared" si="4"/>
        <v>4706.7145770958414</v>
      </c>
      <c r="X12" s="34">
        <f t="shared" si="4"/>
        <v>4735.6510352149198</v>
      </c>
      <c r="Y12" s="34">
        <f t="shared" si="4"/>
        <v>4764.587493334001</v>
      </c>
      <c r="Z12" s="34">
        <f t="shared" si="4"/>
        <v>4793.5239514530804</v>
      </c>
    </row>
    <row r="13" spans="1:26">
      <c r="A13" s="70"/>
      <c r="B13" s="78" t="s">
        <v>427</v>
      </c>
      <c r="C13">
        <f>C70</f>
        <v>0</v>
      </c>
      <c r="D13" s="34">
        <f>D70*0.25</f>
        <v>504.19554315040943</v>
      </c>
      <c r="E13" s="34">
        <f t="shared" ref="E13:Z13" si="5">E70</f>
        <v>2040.0616536347527</v>
      </c>
      <c r="F13" s="34">
        <f t="shared" si="5"/>
        <v>2063.3411346678672</v>
      </c>
      <c r="G13" s="34">
        <f t="shared" si="5"/>
        <v>2086.6206157009819</v>
      </c>
      <c r="H13" s="34">
        <f t="shared" si="5"/>
        <v>2109.9000967340967</v>
      </c>
      <c r="I13" s="34">
        <f t="shared" si="5"/>
        <v>2133.1795777672119</v>
      </c>
      <c r="J13" s="34">
        <f t="shared" si="5"/>
        <v>2156.4590588003261</v>
      </c>
      <c r="K13" s="34">
        <f t="shared" si="5"/>
        <v>2179.7385398334409</v>
      </c>
      <c r="L13" s="34">
        <f t="shared" si="5"/>
        <v>2194.2067688929806</v>
      </c>
      <c r="M13" s="34">
        <f t="shared" si="5"/>
        <v>2208.6749979525207</v>
      </c>
      <c r="N13" s="34">
        <f t="shared" si="5"/>
        <v>2223.1432270120608</v>
      </c>
      <c r="O13" s="34">
        <f t="shared" si="5"/>
        <v>2237.611456071601</v>
      </c>
      <c r="P13" s="34">
        <f t="shared" si="5"/>
        <v>2252.0796851311402</v>
      </c>
      <c r="Q13" s="34">
        <f t="shared" si="5"/>
        <v>2266.5479141906808</v>
      </c>
      <c r="R13" s="34">
        <f t="shared" si="5"/>
        <v>2281.0161432502205</v>
      </c>
      <c r="S13" s="34">
        <f t="shared" si="5"/>
        <v>2295.4843723097606</v>
      </c>
      <c r="T13" s="34">
        <f t="shared" si="5"/>
        <v>2309.9526013693007</v>
      </c>
      <c r="U13" s="34">
        <f t="shared" si="5"/>
        <v>2324.4208304288404</v>
      </c>
      <c r="V13" s="34">
        <f t="shared" si="5"/>
        <v>2338.8890594883806</v>
      </c>
      <c r="W13" s="34">
        <f t="shared" si="5"/>
        <v>2353.3572885479207</v>
      </c>
      <c r="X13" s="34">
        <f t="shared" si="5"/>
        <v>2367.8255176074599</v>
      </c>
      <c r="Y13" s="34">
        <f t="shared" si="5"/>
        <v>2382.2937466670005</v>
      </c>
      <c r="Z13" s="34">
        <f t="shared" si="5"/>
        <v>2396.7619757265402</v>
      </c>
    </row>
    <row r="14" spans="1:26">
      <c r="A14" s="70"/>
      <c r="B14" s="48"/>
      <c r="G14"/>
      <c r="I14"/>
    </row>
    <row r="15" spans="1:26">
      <c r="A15" s="5" t="s">
        <v>369</v>
      </c>
      <c r="B15" s="53"/>
      <c r="G15"/>
      <c r="I15"/>
    </row>
    <row r="16" spans="1:26">
      <c r="G16"/>
      <c r="I16"/>
    </row>
    <row r="17" spans="1:26">
      <c r="A17" s="70"/>
      <c r="B17" s="58" t="s">
        <v>436</v>
      </c>
      <c r="G17"/>
      <c r="I17"/>
    </row>
    <row r="18" spans="1:26">
      <c r="B18" s="78" t="s">
        <v>505</v>
      </c>
      <c r="C18" s="298">
        <f>C6+C7+C12+C13</f>
        <v>0</v>
      </c>
      <c r="D18" s="298">
        <f t="shared" ref="D18:Z18" si="6">D6+D7+D12+D13</f>
        <v>4012.516071507549</v>
      </c>
      <c r="E18" s="298">
        <f t="shared" si="6"/>
        <v>16235.32830323684</v>
      </c>
      <c r="F18" s="298">
        <f t="shared" si="6"/>
        <v>16420.592320443477</v>
      </c>
      <c r="G18" s="298">
        <f t="shared" si="6"/>
        <v>16605.856337650115</v>
      </c>
      <c r="H18" s="298">
        <f t="shared" si="6"/>
        <v>16791.120354856754</v>
      </c>
      <c r="I18" s="298">
        <f t="shared" si="6"/>
        <v>16976.384372063396</v>
      </c>
      <c r="J18" s="298">
        <f t="shared" si="6"/>
        <v>17161.648389270034</v>
      </c>
      <c r="K18" s="298">
        <f t="shared" si="6"/>
        <v>17346.912406476669</v>
      </c>
      <c r="L18" s="298">
        <f t="shared" si="6"/>
        <v>17462.054244631196</v>
      </c>
      <c r="M18" s="298">
        <f t="shared" si="6"/>
        <v>17577.196082785718</v>
      </c>
      <c r="N18" s="298">
        <f t="shared" si="6"/>
        <v>17692.337920940241</v>
      </c>
      <c r="O18" s="298">
        <f t="shared" si="6"/>
        <v>17807.479759094767</v>
      </c>
      <c r="P18" s="298">
        <f t="shared" si="6"/>
        <v>17922.621597249283</v>
      </c>
      <c r="Q18" s="298">
        <f t="shared" si="6"/>
        <v>18037.763435403813</v>
      </c>
      <c r="R18" s="298">
        <f t="shared" si="6"/>
        <v>18152.905273558339</v>
      </c>
      <c r="S18" s="298">
        <f t="shared" si="6"/>
        <v>18268.047111712862</v>
      </c>
      <c r="T18" s="298">
        <f t="shared" si="6"/>
        <v>18383.188949867385</v>
      </c>
      <c r="U18" s="298">
        <f t="shared" si="6"/>
        <v>18498.330788021907</v>
      </c>
      <c r="V18" s="298">
        <f t="shared" si="6"/>
        <v>18613.47262617643</v>
      </c>
      <c r="W18" s="298">
        <f t="shared" si="6"/>
        <v>18728.614464330953</v>
      </c>
      <c r="X18" s="298">
        <f t="shared" si="6"/>
        <v>18843.756302485475</v>
      </c>
      <c r="Y18" s="298">
        <f t="shared" si="6"/>
        <v>18958.898140640005</v>
      </c>
      <c r="Z18" s="298">
        <f t="shared" si="6"/>
        <v>19074.039978794528</v>
      </c>
    </row>
    <row r="19" spans="1:26">
      <c r="B19" s="78" t="s">
        <v>506</v>
      </c>
      <c r="C19" s="418"/>
      <c r="D19" s="298">
        <f>-D18*$A$51</f>
        <v>-636.37359240644275</v>
      </c>
      <c r="E19" s="298">
        <f>-E18*$A$51</f>
        <v>-2574.8767137889799</v>
      </c>
      <c r="F19" s="298">
        <f t="shared" ref="F19:Z19" si="7">-F18*$A$51</f>
        <v>-2604.2590579521875</v>
      </c>
      <c r="G19" s="298">
        <f t="shared" si="7"/>
        <v>-2633.6414021153955</v>
      </c>
      <c r="H19" s="298">
        <f t="shared" si="7"/>
        <v>-2663.0237462786031</v>
      </c>
      <c r="I19" s="298">
        <f t="shared" si="7"/>
        <v>-2692.4060904418116</v>
      </c>
      <c r="J19" s="298">
        <f t="shared" si="7"/>
        <v>-2721.7884346050196</v>
      </c>
      <c r="K19" s="298">
        <f t="shared" si="7"/>
        <v>-2751.1707787682267</v>
      </c>
      <c r="L19" s="298">
        <f t="shared" si="7"/>
        <v>-2769.4319455465939</v>
      </c>
      <c r="M19" s="298">
        <f t="shared" si="7"/>
        <v>-2787.6931123249601</v>
      </c>
      <c r="N19" s="298">
        <f t="shared" si="7"/>
        <v>-2805.9542791033264</v>
      </c>
      <c r="O19" s="298">
        <f t="shared" si="7"/>
        <v>-2824.2154458816935</v>
      </c>
      <c r="P19" s="298">
        <f t="shared" si="7"/>
        <v>-2842.4766126600589</v>
      </c>
      <c r="Q19" s="298">
        <f t="shared" si="7"/>
        <v>-2860.7377794384261</v>
      </c>
      <c r="R19" s="298">
        <f t="shared" si="7"/>
        <v>-2878.9989462167932</v>
      </c>
      <c r="S19" s="298">
        <f t="shared" si="7"/>
        <v>-2897.2601129951595</v>
      </c>
      <c r="T19" s="298">
        <f t="shared" si="7"/>
        <v>-2915.5212797735257</v>
      </c>
      <c r="U19" s="298">
        <f t="shared" si="7"/>
        <v>-2933.7824465518925</v>
      </c>
      <c r="V19" s="298">
        <f t="shared" si="7"/>
        <v>-2952.0436133302587</v>
      </c>
      <c r="W19" s="298">
        <f t="shared" si="7"/>
        <v>-2970.304780108625</v>
      </c>
      <c r="X19" s="298">
        <f t="shared" si="7"/>
        <v>-2988.5659468869912</v>
      </c>
      <c r="Y19" s="298">
        <f t="shared" si="7"/>
        <v>-3006.8271136653589</v>
      </c>
      <c r="Z19" s="298">
        <f t="shared" si="7"/>
        <v>-3025.0882804437256</v>
      </c>
    </row>
    <row r="20" spans="1:26">
      <c r="B20" s="78" t="s">
        <v>507</v>
      </c>
      <c r="C20" s="298">
        <f>-(C6+C12)</f>
        <v>0</v>
      </c>
      <c r="D20" s="298">
        <f t="shared" ref="D20:Z20" si="8">-(D6+D12)</f>
        <v>-2675.0107143383666</v>
      </c>
      <c r="E20" s="298">
        <f t="shared" si="8"/>
        <v>-10823.552202157893</v>
      </c>
      <c r="F20" s="298">
        <f t="shared" si="8"/>
        <v>-10947.061546962319</v>
      </c>
      <c r="G20" s="298">
        <f t="shared" si="8"/>
        <v>-11070.570891766743</v>
      </c>
      <c r="H20" s="298">
        <f t="shared" si="8"/>
        <v>-11194.080236571168</v>
      </c>
      <c r="I20" s="298">
        <f t="shared" si="8"/>
        <v>-11317.589581375596</v>
      </c>
      <c r="J20" s="298">
        <f t="shared" si="8"/>
        <v>-11441.09892618002</v>
      </c>
      <c r="K20" s="298">
        <f t="shared" si="8"/>
        <v>-11564.608270984445</v>
      </c>
      <c r="L20" s="298">
        <f t="shared" si="8"/>
        <v>-11641.369496420795</v>
      </c>
      <c r="M20" s="298">
        <f t="shared" si="8"/>
        <v>-11718.130721857146</v>
      </c>
      <c r="N20" s="298">
        <f t="shared" si="8"/>
        <v>-11794.891947293494</v>
      </c>
      <c r="O20" s="298">
        <f t="shared" si="8"/>
        <v>-11871.653172729846</v>
      </c>
      <c r="P20" s="298">
        <f t="shared" si="8"/>
        <v>-11948.414398166191</v>
      </c>
      <c r="Q20" s="298">
        <f t="shared" si="8"/>
        <v>-12025.175623602541</v>
      </c>
      <c r="R20" s="298">
        <f t="shared" si="8"/>
        <v>-12101.936849038892</v>
      </c>
      <c r="S20" s="298">
        <f t="shared" si="8"/>
        <v>-12178.69807447524</v>
      </c>
      <c r="T20" s="298">
        <f t="shared" si="8"/>
        <v>-12255.459299911588</v>
      </c>
      <c r="U20" s="298">
        <f t="shared" si="8"/>
        <v>-12332.220525347941</v>
      </c>
      <c r="V20" s="298">
        <f t="shared" si="8"/>
        <v>-12408.981750784287</v>
      </c>
      <c r="W20" s="298">
        <f t="shared" si="8"/>
        <v>-12485.742976220638</v>
      </c>
      <c r="X20" s="298">
        <f t="shared" si="8"/>
        <v>-12562.504201656984</v>
      </c>
      <c r="Y20" s="298">
        <f t="shared" si="8"/>
        <v>-12639.265427093334</v>
      </c>
      <c r="Z20" s="298">
        <f t="shared" si="8"/>
        <v>-12716.026652529685</v>
      </c>
    </row>
    <row r="21" spans="1:26">
      <c r="B21" s="78" t="s">
        <v>508</v>
      </c>
      <c r="C21" s="298">
        <f>-('Mode Operating Assumptions'!$C$27*(C6+C12))</f>
        <v>0</v>
      </c>
      <c r="D21" s="298">
        <f>-('Mode Operating Assumptions'!$C$27*(D6+D12))</f>
        <v>-17387.569643199382</v>
      </c>
      <c r="E21" s="298">
        <f>-('Mode Operating Assumptions'!$C$27*(E6+E12))</f>
        <v>-70353.089314026307</v>
      </c>
      <c r="F21" s="298">
        <f>-('Mode Operating Assumptions'!$C$27*(F6+F12))</f>
        <v>-71155.900055255071</v>
      </c>
      <c r="G21" s="298">
        <f>-('Mode Operating Assumptions'!$C$27*(G6+G12))</f>
        <v>-71958.710796483836</v>
      </c>
      <c r="H21" s="298">
        <f>-('Mode Operating Assumptions'!$C$27*(H6+H12))</f>
        <v>-72761.521537712586</v>
      </c>
      <c r="I21" s="298">
        <f>-('Mode Operating Assumptions'!$C$27*(I6+I12))</f>
        <v>-73564.33227894138</v>
      </c>
      <c r="J21" s="298">
        <f>-('Mode Operating Assumptions'!$C$27*(J6+J12))</f>
        <v>-74367.14302017013</v>
      </c>
      <c r="K21" s="298">
        <f>-('Mode Operating Assumptions'!$C$27*(K6+K12))</f>
        <v>-75169.953761398894</v>
      </c>
      <c r="L21" s="298">
        <f>-('Mode Operating Assumptions'!$C$27*(L6+L12))</f>
        <v>-75668.901726735174</v>
      </c>
      <c r="M21" s="298">
        <f>-('Mode Operating Assumptions'!$C$27*(M6+M12))</f>
        <v>-76167.849692071439</v>
      </c>
      <c r="N21" s="298">
        <f>-('Mode Operating Assumptions'!$C$27*(N6+N12))</f>
        <v>-76666.797657407704</v>
      </c>
      <c r="O21" s="298">
        <f>-('Mode Operating Assumptions'!$C$27*(O6+O12))</f>
        <v>-77165.745622743998</v>
      </c>
      <c r="P21" s="298">
        <f>-('Mode Operating Assumptions'!$C$27*(P6+P12))</f>
        <v>-77664.693588080234</v>
      </c>
      <c r="Q21" s="298">
        <f>-('Mode Operating Assumptions'!$C$27*(Q6+Q12))</f>
        <v>-78163.641553416513</v>
      </c>
      <c r="R21" s="298">
        <f>-('Mode Operating Assumptions'!$C$27*(R6+R12))</f>
        <v>-78662.589518752793</v>
      </c>
      <c r="S21" s="298">
        <f>-('Mode Operating Assumptions'!$C$27*(S6+S12))</f>
        <v>-79161.537484089058</v>
      </c>
      <c r="T21" s="298">
        <f>-('Mode Operating Assumptions'!$C$27*(T6+T12))</f>
        <v>-79660.485449425323</v>
      </c>
      <c r="U21" s="298">
        <f>-('Mode Operating Assumptions'!$C$27*(U6+U12))</f>
        <v>-80159.433414761617</v>
      </c>
      <c r="V21" s="298">
        <f>-('Mode Operating Assumptions'!$C$27*(V6+V12))</f>
        <v>-80658.381380097868</v>
      </c>
      <c r="W21" s="298">
        <f>-('Mode Operating Assumptions'!$C$27*(W6+W12))</f>
        <v>-81157.329345434147</v>
      </c>
      <c r="X21" s="298">
        <f>-('Mode Operating Assumptions'!$C$27*(X6+X12))</f>
        <v>-81656.277310770398</v>
      </c>
      <c r="Y21" s="298">
        <f>-('Mode Operating Assumptions'!$C$27*(Y6+Y12))</f>
        <v>-82155.225276106677</v>
      </c>
      <c r="Z21" s="298">
        <f>-('Mode Operating Assumptions'!$C$27*(Z6+Z12))</f>
        <v>-82654.173241442957</v>
      </c>
    </row>
    <row r="22" spans="1:26">
      <c r="A22" s="70"/>
      <c r="B22" s="54" t="s">
        <v>509</v>
      </c>
      <c r="C22" s="246">
        <f>-(C21*'Mode Operating Assumptions'!$C$8/'Mode Operating Assumptions'!C11)</f>
        <v>0</v>
      </c>
      <c r="D22" s="246">
        <f>-(D21*'Mode Operating Assumptions'!$C$8/'Mode Operating Assumptions'!D11)</f>
        <v>3064.0878721314166</v>
      </c>
      <c r="E22" s="246">
        <f>-(E21*'Mode Operating Assumptions'!$C$8/'Mode Operating Assumptions'!E11)</f>
        <v>12118.41507564978</v>
      </c>
      <c r="F22" s="246">
        <f>-(F21*'Mode Operating Assumptions'!$C$8/'Mode Operating Assumptions'!F11)</f>
        <v>11986.558982182913</v>
      </c>
      <c r="G22" s="246">
        <f>-(G21*'Mode Operating Assumptions'!$C$8/'Mode Operating Assumptions'!G11)</f>
        <v>11860.389841871658</v>
      </c>
      <c r="H22" s="246">
        <f>-(H21*'Mode Operating Assumptions'!$C$8/'Mode Operating Assumptions'!H11)</f>
        <v>11739.547503942889</v>
      </c>
      <c r="I22" s="246">
        <f>-(I21*'Mode Operating Assumptions'!$C$8/'Mode Operating Assumptions'!I11)</f>
        <v>11623.701599726281</v>
      </c>
      <c r="J22" s="246">
        <f>-(J21*'Mode Operating Assumptions'!$C$8/'Mode Operating Assumptions'!J11)</f>
        <v>11512.548526527422</v>
      </c>
      <c r="K22" s="246">
        <f>-(K21*'Mode Operating Assumptions'!$C$8/'Mode Operating Assumptions'!K11)</f>
        <v>11405.808790767398</v>
      </c>
      <c r="L22" s="246">
        <f>-(L21*'Mode Operating Assumptions'!$C$8/'Mode Operating Assumptions'!L11)</f>
        <v>11475.43596750482</v>
      </c>
      <c r="M22" s="246">
        <f>-(M21*'Mode Operating Assumptions'!$C$8/'Mode Operating Assumptions'!M11)</f>
        <v>11544.989441556034</v>
      </c>
      <c r="N22" s="246">
        <f>-(N21*'Mode Operating Assumptions'!$C$8/'Mode Operating Assumptions'!N11)</f>
        <v>11614.469329884259</v>
      </c>
      <c r="O22" s="246">
        <f>-(O21*'Mode Operating Assumptions'!$C$8/'Mode Operating Assumptions'!O11)</f>
        <v>11683.875749205366</v>
      </c>
      <c r="P22" s="246">
        <f>-(P21*'Mode Operating Assumptions'!$C$8/'Mode Operating Assumptions'!P11)</f>
        <v>11753.208815988497</v>
      </c>
      <c r="Q22" s="246">
        <f>-(Q21*'Mode Operating Assumptions'!$C$8/'Mode Operating Assumptions'!Q11)</f>
        <v>11822.468646456769</v>
      </c>
      <c r="R22" s="246">
        <f>-(R21*'Mode Operating Assumptions'!$C$8/'Mode Operating Assumptions'!R11)</f>
        <v>11891.655356587882</v>
      </c>
      <c r="S22" s="246">
        <f>-(S21*'Mode Operating Assumptions'!$C$8/'Mode Operating Assumptions'!S11)</f>
        <v>11960.769062114781</v>
      </c>
      <c r="T22" s="246">
        <f>-(T21*'Mode Operating Assumptions'!$C$8/'Mode Operating Assumptions'!T11)</f>
        <v>12029.80987852631</v>
      </c>
      <c r="U22" s="246">
        <f>-(U21*'Mode Operating Assumptions'!$C$8/'Mode Operating Assumptions'!U11)</f>
        <v>12098.777921067836</v>
      </c>
      <c r="V22" s="246">
        <f>-(V21*'Mode Operating Assumptions'!$C$8/'Mode Operating Assumptions'!V11)</f>
        <v>12167.6733047419</v>
      </c>
      <c r="W22" s="246">
        <f>-(W21*'Mode Operating Assumptions'!$C$8/'Mode Operating Assumptions'!W11)</f>
        <v>12236.496144308872</v>
      </c>
      <c r="X22" s="246">
        <f>-(X21*'Mode Operating Assumptions'!$C$8/'Mode Operating Assumptions'!X11)</f>
        <v>12305.246554287551</v>
      </c>
      <c r="Y22" s="246">
        <f>-(Y21*'Mode Operating Assumptions'!$C$8/'Mode Operating Assumptions'!Y11)</f>
        <v>12373.924648955843</v>
      </c>
      <c r="Z22" s="246">
        <f>-(Z21*'Mode Operating Assumptions'!$C$8/'Mode Operating Assumptions'!Z11)</f>
        <v>12442.530542351364</v>
      </c>
    </row>
    <row r="23" spans="1:26">
      <c r="A23" s="70"/>
      <c r="B23" s="54"/>
      <c r="C23" s="246"/>
      <c r="D23" s="246"/>
      <c r="E23" s="246"/>
      <c r="F23" s="246"/>
      <c r="G23" s="246"/>
      <c r="H23" s="246"/>
      <c r="I23" s="246"/>
      <c r="J23" s="246"/>
      <c r="K23" s="246"/>
      <c r="L23" s="246"/>
      <c r="M23" s="246"/>
      <c r="N23" s="246"/>
      <c r="O23" s="246"/>
      <c r="P23" s="246"/>
      <c r="Q23" s="246"/>
      <c r="R23" s="246"/>
      <c r="S23" s="246"/>
      <c r="T23" s="246"/>
      <c r="U23" s="246"/>
      <c r="V23" s="246"/>
      <c r="W23" s="246"/>
      <c r="X23" s="246"/>
      <c r="Y23" s="246"/>
      <c r="Z23" s="246"/>
    </row>
    <row r="24" spans="1:26">
      <c r="A24" s="70"/>
      <c r="B24" s="54"/>
      <c r="C24" s="246"/>
      <c r="D24" s="246"/>
      <c r="E24" s="246"/>
      <c r="F24" s="246"/>
      <c r="G24" s="246"/>
      <c r="H24" s="246"/>
      <c r="I24" s="246"/>
      <c r="J24" s="246"/>
      <c r="K24" s="246"/>
      <c r="L24" s="246"/>
      <c r="M24" s="246"/>
      <c r="N24" s="246"/>
      <c r="O24" s="246"/>
      <c r="P24" s="246"/>
      <c r="Q24" s="246"/>
      <c r="R24" s="246"/>
      <c r="S24" s="246"/>
      <c r="T24" s="246"/>
      <c r="U24" s="246"/>
      <c r="V24" s="246"/>
      <c r="W24" s="246"/>
      <c r="X24" s="246"/>
      <c r="Y24" s="246"/>
      <c r="Z24" s="246"/>
    </row>
    <row r="25" spans="1:26">
      <c r="A25" s="70"/>
      <c r="B25" s="54"/>
      <c r="C25" s="246"/>
      <c r="D25" s="246"/>
      <c r="E25" s="246"/>
      <c r="F25" s="246"/>
      <c r="G25" s="246"/>
      <c r="H25" s="246"/>
      <c r="I25" s="246"/>
      <c r="J25" s="246"/>
      <c r="K25" s="246"/>
      <c r="L25" s="246"/>
      <c r="M25" s="246"/>
      <c r="N25" s="246"/>
      <c r="O25" s="246"/>
      <c r="P25" s="246"/>
      <c r="Q25" s="246"/>
      <c r="R25" s="246"/>
      <c r="S25" s="246"/>
      <c r="T25" s="246"/>
      <c r="U25" s="246"/>
      <c r="V25" s="246"/>
      <c r="W25" s="246"/>
      <c r="X25" s="246"/>
      <c r="Y25" s="246"/>
      <c r="Z25" s="246"/>
    </row>
    <row r="26" spans="1:26">
      <c r="A26" s="70"/>
      <c r="B26" s="54"/>
      <c r="C26" s="246"/>
      <c r="D26" s="246"/>
      <c r="E26" s="246"/>
      <c r="F26" s="246"/>
      <c r="G26" s="246"/>
      <c r="H26" s="246"/>
      <c r="I26" s="246"/>
      <c r="J26" s="246"/>
      <c r="K26" s="246"/>
      <c r="L26" s="246"/>
      <c r="M26" s="246"/>
      <c r="N26" s="246"/>
      <c r="O26" s="246"/>
      <c r="P26" s="246"/>
      <c r="Q26" s="246"/>
      <c r="R26" s="246"/>
      <c r="S26" s="246"/>
      <c r="T26" s="246"/>
      <c r="U26" s="246"/>
      <c r="V26" s="246"/>
      <c r="W26" s="246"/>
      <c r="X26" s="246"/>
      <c r="Y26" s="246"/>
      <c r="Z26" s="246"/>
    </row>
    <row r="27" spans="1:26">
      <c r="A27" s="70"/>
      <c r="B27" s="54"/>
      <c r="C27" s="246"/>
      <c r="D27" s="246"/>
      <c r="E27" s="246"/>
      <c r="F27" s="246"/>
      <c r="G27" s="246"/>
      <c r="H27" s="246"/>
      <c r="I27" s="246"/>
      <c r="J27" s="246"/>
      <c r="K27" s="246"/>
      <c r="L27" s="246"/>
      <c r="M27" s="246"/>
      <c r="N27" s="246"/>
      <c r="O27" s="246"/>
      <c r="P27" s="246"/>
      <c r="Q27" s="246"/>
      <c r="R27" s="246"/>
      <c r="S27" s="246"/>
      <c r="T27" s="246"/>
      <c r="U27" s="246"/>
      <c r="V27" s="246"/>
      <c r="W27" s="246"/>
      <c r="X27" s="246"/>
      <c r="Y27" s="246"/>
      <c r="Z27" s="246"/>
    </row>
    <row r="28" spans="1:26">
      <c r="A28" s="70"/>
      <c r="B28" s="54"/>
      <c r="C28" s="246"/>
      <c r="D28" s="246"/>
      <c r="E28" s="246"/>
      <c r="F28" s="246"/>
      <c r="G28" s="246"/>
      <c r="H28" s="246"/>
      <c r="I28" s="246"/>
      <c r="J28" s="246"/>
      <c r="K28" s="246"/>
      <c r="L28" s="246"/>
      <c r="M28" s="246"/>
      <c r="N28" s="246"/>
      <c r="O28" s="246"/>
      <c r="P28" s="246"/>
      <c r="Q28" s="246"/>
      <c r="R28" s="246"/>
      <c r="S28" s="246"/>
      <c r="T28" s="246"/>
      <c r="U28" s="246"/>
      <c r="V28" s="246"/>
      <c r="W28" s="246"/>
      <c r="X28" s="246"/>
      <c r="Y28" s="246"/>
      <c r="Z28" s="246"/>
    </row>
    <row r="29" spans="1:26">
      <c r="G29"/>
      <c r="I29"/>
    </row>
    <row r="30" spans="1:26" s="400" customFormat="1" ht="11.25">
      <c r="A30" s="521" t="s">
        <v>251</v>
      </c>
      <c r="B30" s="523" t="s">
        <v>256</v>
      </c>
      <c r="C30" s="524"/>
      <c r="D30" s="524"/>
      <c r="E30" s="525"/>
      <c r="F30" s="523" t="s">
        <v>257</v>
      </c>
      <c r="G30" s="524"/>
      <c r="H30" s="524"/>
      <c r="I30" s="525"/>
    </row>
    <row r="31" spans="1:26" s="400" customFormat="1" ht="12" thickBot="1">
      <c r="A31" s="522"/>
      <c r="B31" s="151">
        <v>2005</v>
      </c>
      <c r="C31" s="152">
        <v>2010</v>
      </c>
      <c r="D31" s="152">
        <v>2020</v>
      </c>
      <c r="E31" s="153">
        <v>2030</v>
      </c>
      <c r="F31" s="151">
        <v>2005</v>
      </c>
      <c r="G31" s="152">
        <v>2010</v>
      </c>
      <c r="H31" s="152">
        <v>2020</v>
      </c>
      <c r="I31" s="153">
        <v>2030</v>
      </c>
    </row>
    <row r="32" spans="1:26">
      <c r="A32" s="395" t="s">
        <v>586</v>
      </c>
      <c r="B32" s="396">
        <v>3384.6666666666683</v>
      </c>
      <c r="C32" s="397">
        <v>3326.3674047520681</v>
      </c>
      <c r="D32" s="397">
        <v>3719.3057863931881</v>
      </c>
      <c r="E32" s="398">
        <v>3963.1835259569139</v>
      </c>
      <c r="F32" s="396">
        <v>3216.6666666666656</v>
      </c>
      <c r="G32" s="397">
        <v>3162.7770702107587</v>
      </c>
      <c r="H32" s="397">
        <v>3545.7415225188024</v>
      </c>
      <c r="I32" s="398">
        <v>3784.0884473947158</v>
      </c>
    </row>
    <row r="33" spans="1:26">
      <c r="D33">
        <f>(D32-C32)/10</f>
        <v>39.293838164112003</v>
      </c>
      <c r="E33">
        <f>(E32-D32)/10</f>
        <v>24.387773956372577</v>
      </c>
      <c r="H33">
        <f>(H32-G32)/10</f>
        <v>38.296445230804373</v>
      </c>
      <c r="I33">
        <f>(I32-H32)/10</f>
        <v>23.834692487591337</v>
      </c>
    </row>
    <row r="34" spans="1:26">
      <c r="D34" s="128">
        <f>D33/C32</f>
        <v>1.1812837664287052E-2</v>
      </c>
      <c r="E34" s="128">
        <f>E33/D32</f>
        <v>6.5570768732147507E-3</v>
      </c>
      <c r="F34" s="128"/>
      <c r="G34" s="401"/>
      <c r="H34" s="128">
        <f>H33/G32</f>
        <v>1.2108487060788134E-2</v>
      </c>
      <c r="I34" s="128">
        <f>I33/H32</f>
        <v>6.7220614746502424E-3</v>
      </c>
    </row>
    <row r="35" spans="1:26">
      <c r="D35" s="128"/>
      <c r="E35" s="128"/>
      <c r="F35" s="128"/>
      <c r="G35" s="401"/>
      <c r="H35" s="128"/>
      <c r="I35" s="128"/>
    </row>
    <row r="36" spans="1:26">
      <c r="C36" s="75">
        <v>2012</v>
      </c>
      <c r="D36" s="75">
        <v>2013</v>
      </c>
      <c r="E36" s="75">
        <v>2014</v>
      </c>
      <c r="F36" s="75">
        <v>2015</v>
      </c>
      <c r="G36" s="75">
        <v>2016</v>
      </c>
      <c r="H36" s="75">
        <v>2017</v>
      </c>
      <c r="I36" s="75">
        <v>2018</v>
      </c>
      <c r="J36" s="75">
        <v>2019</v>
      </c>
      <c r="K36" s="75">
        <v>2020</v>
      </c>
      <c r="L36" s="75">
        <v>2021</v>
      </c>
      <c r="M36" s="75">
        <v>2022</v>
      </c>
      <c r="N36" s="75">
        <v>2023</v>
      </c>
      <c r="O36" s="75">
        <v>2024</v>
      </c>
      <c r="P36" s="75">
        <v>2025</v>
      </c>
      <c r="Q36" s="75">
        <v>2026</v>
      </c>
      <c r="R36" s="75">
        <v>2027</v>
      </c>
      <c r="S36" s="75">
        <v>2028</v>
      </c>
      <c r="T36" s="75">
        <v>2029</v>
      </c>
      <c r="U36" s="75">
        <v>2030</v>
      </c>
      <c r="V36" s="75">
        <v>2031</v>
      </c>
      <c r="W36" s="75">
        <v>2032</v>
      </c>
      <c r="X36" s="75">
        <v>2033</v>
      </c>
      <c r="Y36" s="75">
        <v>2034</v>
      </c>
      <c r="Z36" s="75">
        <v>2035</v>
      </c>
    </row>
    <row r="37" spans="1:26">
      <c r="C37" s="75" t="s">
        <v>18</v>
      </c>
      <c r="D37" s="72" t="s">
        <v>19</v>
      </c>
      <c r="E37" s="72" t="s">
        <v>20</v>
      </c>
      <c r="F37" s="72" t="s">
        <v>21</v>
      </c>
      <c r="G37" s="72" t="s">
        <v>22</v>
      </c>
      <c r="H37" s="72" t="s">
        <v>23</v>
      </c>
      <c r="I37" s="72" t="s">
        <v>24</v>
      </c>
      <c r="J37" s="72" t="s">
        <v>25</v>
      </c>
      <c r="K37" s="72" t="s">
        <v>26</v>
      </c>
      <c r="L37" s="72" t="s">
        <v>27</v>
      </c>
      <c r="M37" s="72" t="s">
        <v>28</v>
      </c>
      <c r="N37" s="72" t="s">
        <v>29</v>
      </c>
      <c r="O37" s="72" t="s">
        <v>30</v>
      </c>
      <c r="P37" s="72" t="s">
        <v>31</v>
      </c>
      <c r="Q37" s="72" t="s">
        <v>32</v>
      </c>
      <c r="R37" s="72" t="s">
        <v>33</v>
      </c>
      <c r="S37" s="72" t="s">
        <v>34</v>
      </c>
      <c r="T37" s="72" t="s">
        <v>35</v>
      </c>
      <c r="U37" s="72" t="s">
        <v>36</v>
      </c>
      <c r="V37" s="72" t="s">
        <v>123</v>
      </c>
      <c r="W37" s="72" t="s">
        <v>245</v>
      </c>
      <c r="X37" s="72" t="s">
        <v>246</v>
      </c>
      <c r="Y37" s="72" t="s">
        <v>247</v>
      </c>
      <c r="Z37" s="72" t="s">
        <v>248</v>
      </c>
    </row>
    <row r="38" spans="1:26">
      <c r="B38" s="26" t="s">
        <v>267</v>
      </c>
      <c r="C38" s="402">
        <f>$C$32*(1+($D$34*(C36-2010)))+$G$32*(1+($H$34*(C36-2010)))</f>
        <v>6644.3250417526597</v>
      </c>
      <c r="D38" s="402">
        <f t="shared" ref="D38:J38" si="9">$C$32*(1+($D$34*(D36-2010)))+$G$32*(1+($H$34*(D36-2010)))</f>
        <v>6721.9153251475764</v>
      </c>
      <c r="E38" s="402">
        <f t="shared" si="9"/>
        <v>6799.5056085424922</v>
      </c>
      <c r="F38" s="402">
        <f t="shared" si="9"/>
        <v>6877.0958919374098</v>
      </c>
      <c r="G38" s="402">
        <f t="shared" si="9"/>
        <v>6954.6861753323255</v>
      </c>
      <c r="H38" s="402">
        <f t="shared" si="9"/>
        <v>7032.2764587272413</v>
      </c>
      <c r="I38" s="402">
        <f t="shared" si="9"/>
        <v>7109.866742122158</v>
      </c>
      <c r="J38" s="402">
        <f t="shared" si="9"/>
        <v>7187.4570255170738</v>
      </c>
      <c r="K38" s="164">
        <f>H32+D32</f>
        <v>7265.0473089119905</v>
      </c>
      <c r="L38" s="402">
        <f>$D$32*(1+($E$34*(L36-2020)))+$H$32*(1+($I$34*(L36-2020)))</f>
        <v>7313.2697753559542</v>
      </c>
      <c r="M38" s="402">
        <f t="shared" ref="M38:Z38" si="10">$D$32*(1+($E$34*(M36-2020)))+$H$32*(1+($I$34*(M36-2020)))</f>
        <v>7361.4922417999187</v>
      </c>
      <c r="N38" s="402">
        <f t="shared" si="10"/>
        <v>7409.7147082438823</v>
      </c>
      <c r="O38" s="402">
        <f t="shared" si="10"/>
        <v>7457.9371746878469</v>
      </c>
      <c r="P38" s="402">
        <f t="shared" si="10"/>
        <v>7506.1596411318096</v>
      </c>
      <c r="Q38" s="402">
        <f t="shared" si="10"/>
        <v>7554.3821075757733</v>
      </c>
      <c r="R38" s="402">
        <f t="shared" si="10"/>
        <v>7602.6045740197387</v>
      </c>
      <c r="S38" s="402">
        <f t="shared" si="10"/>
        <v>7650.8270404637015</v>
      </c>
      <c r="T38" s="402">
        <f t="shared" si="10"/>
        <v>7699.049506907666</v>
      </c>
      <c r="U38" s="402">
        <f t="shared" si="10"/>
        <v>7747.2719733516296</v>
      </c>
      <c r="V38" s="402">
        <f t="shared" si="10"/>
        <v>7795.4944397955933</v>
      </c>
      <c r="W38" s="402">
        <f t="shared" si="10"/>
        <v>7843.7169062395578</v>
      </c>
      <c r="X38" s="402">
        <f t="shared" si="10"/>
        <v>7891.9393726835206</v>
      </c>
      <c r="Y38" s="402">
        <f t="shared" si="10"/>
        <v>7940.161839127486</v>
      </c>
      <c r="Z38" s="402">
        <f t="shared" si="10"/>
        <v>7988.3843055714497</v>
      </c>
    </row>
    <row r="39" spans="1:26">
      <c r="U39" s="417">
        <f>I32+E32</f>
        <v>7747.2719733516296</v>
      </c>
    </row>
    <row r="41" spans="1:26" s="174" customFormat="1">
      <c r="A41" s="173" t="s">
        <v>290</v>
      </c>
      <c r="B41" s="173" t="s">
        <v>272</v>
      </c>
      <c r="C41" s="173" t="s">
        <v>273</v>
      </c>
      <c r="D41" s="173" t="s">
        <v>274</v>
      </c>
      <c r="E41" s="173" t="s">
        <v>275</v>
      </c>
      <c r="F41" s="173" t="s">
        <v>276</v>
      </c>
      <c r="G41" s="173" t="s">
        <v>277</v>
      </c>
      <c r="H41" s="173" t="s">
        <v>278</v>
      </c>
      <c r="I41" s="173" t="s">
        <v>279</v>
      </c>
      <c r="J41" s="173" t="s">
        <v>280</v>
      </c>
      <c r="K41" s="173" t="s">
        <v>281</v>
      </c>
      <c r="L41" s="173" t="s">
        <v>282</v>
      </c>
      <c r="M41" s="173" t="s">
        <v>283</v>
      </c>
      <c r="N41" s="173" t="s">
        <v>284</v>
      </c>
      <c r="O41" s="173" t="s">
        <v>285</v>
      </c>
      <c r="P41" s="173" t="s">
        <v>286</v>
      </c>
      <c r="Q41" s="173" t="s">
        <v>287</v>
      </c>
      <c r="R41" s="173" t="s">
        <v>288</v>
      </c>
    </row>
    <row r="42" spans="1:26">
      <c r="A42" s="405" t="s">
        <v>584</v>
      </c>
      <c r="B42" s="406">
        <v>3695.6518399999891</v>
      </c>
      <c r="C42" s="172"/>
      <c r="D42" s="172"/>
      <c r="E42" s="172"/>
      <c r="F42" s="406">
        <v>331.36395000000016</v>
      </c>
      <c r="G42" s="406">
        <v>147.84129000000001</v>
      </c>
      <c r="H42" s="406">
        <v>18.923079999999999</v>
      </c>
      <c r="I42" s="406">
        <v>1029.8900499999991</v>
      </c>
      <c r="J42" s="172"/>
      <c r="K42" s="172"/>
      <c r="L42" s="406">
        <v>366.80232000000012</v>
      </c>
      <c r="M42" s="172"/>
      <c r="N42" s="406">
        <v>9.0277799999999999</v>
      </c>
      <c r="O42" s="406">
        <v>191.36665000000008</v>
      </c>
      <c r="P42" s="406">
        <v>54.960929999999998</v>
      </c>
      <c r="Q42" s="406">
        <v>18.320309999999999</v>
      </c>
      <c r="R42" s="406">
        <v>1527.1554799999965</v>
      </c>
    </row>
    <row r="43" spans="1:26">
      <c r="E43" s="128">
        <f>E42/$B42</f>
        <v>0</v>
      </c>
      <c r="F43" s="128">
        <f t="shared" ref="F43:R43" si="11">F42/$B42</f>
        <v>8.9663194571921886E-2</v>
      </c>
      <c r="G43" s="128">
        <f t="shared" si="11"/>
        <v>4.0004117379195667E-2</v>
      </c>
      <c r="H43" s="128">
        <f t="shared" si="11"/>
        <v>5.1203632861693098E-3</v>
      </c>
      <c r="I43" s="128">
        <f t="shared" si="11"/>
        <v>0.27867615635568155</v>
      </c>
      <c r="J43" s="128">
        <f t="shared" si="11"/>
        <v>0</v>
      </c>
      <c r="K43" s="128">
        <f t="shared" si="11"/>
        <v>0</v>
      </c>
      <c r="L43" s="128">
        <f t="shared" si="11"/>
        <v>9.9252401438334956E-2</v>
      </c>
      <c r="M43" s="128">
        <f t="shared" si="11"/>
        <v>0</v>
      </c>
      <c r="N43" s="128">
        <f t="shared" si="11"/>
        <v>2.4428112795387203E-3</v>
      </c>
      <c r="O43" s="128">
        <f t="shared" si="11"/>
        <v>5.178156879626427E-2</v>
      </c>
      <c r="P43" s="128">
        <f t="shared" si="11"/>
        <v>1.4871782402532853E-2</v>
      </c>
      <c r="Q43" s="128">
        <f t="shared" si="11"/>
        <v>4.9572608008442848E-3</v>
      </c>
      <c r="R43" s="128">
        <f t="shared" si="11"/>
        <v>0.41323034368951839</v>
      </c>
    </row>
    <row r="44" spans="1:26" ht="15">
      <c r="B44" s="138" t="s">
        <v>289</v>
      </c>
      <c r="G44"/>
      <c r="I44"/>
    </row>
    <row r="45" spans="1:26">
      <c r="C45" s="75">
        <v>2012</v>
      </c>
      <c r="D45" s="75">
        <v>2013</v>
      </c>
      <c r="E45" s="75">
        <v>2014</v>
      </c>
      <c r="F45" s="75">
        <v>2015</v>
      </c>
      <c r="G45" s="75">
        <v>2016</v>
      </c>
      <c r="H45" s="75">
        <v>2017</v>
      </c>
      <c r="I45" s="75">
        <v>2018</v>
      </c>
      <c r="J45" s="75">
        <v>2019</v>
      </c>
      <c r="K45" s="75">
        <v>2020</v>
      </c>
      <c r="L45" s="75">
        <v>2021</v>
      </c>
      <c r="M45" s="75">
        <v>2022</v>
      </c>
      <c r="N45" s="75">
        <v>2023</v>
      </c>
      <c r="O45" s="75">
        <v>2024</v>
      </c>
      <c r="P45" s="75">
        <v>2025</v>
      </c>
      <c r="Q45" s="75">
        <v>2026</v>
      </c>
      <c r="R45" s="75">
        <v>2027</v>
      </c>
      <c r="S45" s="75">
        <v>2028</v>
      </c>
      <c r="T45" s="75">
        <v>2029</v>
      </c>
      <c r="U45" s="75">
        <v>2030</v>
      </c>
      <c r="V45" s="75">
        <v>2031</v>
      </c>
      <c r="W45" s="75">
        <v>2032</v>
      </c>
      <c r="X45" s="75">
        <v>2033</v>
      </c>
      <c r="Y45" s="75">
        <v>2034</v>
      </c>
      <c r="Z45" s="75">
        <v>2035</v>
      </c>
    </row>
    <row r="46" spans="1:26">
      <c r="C46" s="75" t="s">
        <v>18</v>
      </c>
      <c r="D46" s="72" t="s">
        <v>19</v>
      </c>
      <c r="E46" s="72" t="s">
        <v>20</v>
      </c>
      <c r="F46" s="72" t="s">
        <v>21</v>
      </c>
      <c r="G46" s="72" t="s">
        <v>22</v>
      </c>
      <c r="H46" s="72" t="s">
        <v>23</v>
      </c>
      <c r="I46" s="72" t="s">
        <v>24</v>
      </c>
      <c r="J46" s="72" t="s">
        <v>25</v>
      </c>
      <c r="K46" s="72" t="s">
        <v>26</v>
      </c>
      <c r="L46" s="72" t="s">
        <v>27</v>
      </c>
      <c r="M46" s="72" t="s">
        <v>28</v>
      </c>
      <c r="N46" s="72" t="s">
        <v>29</v>
      </c>
      <c r="O46" s="72" t="s">
        <v>30</v>
      </c>
      <c r="P46" s="72" t="s">
        <v>31</v>
      </c>
      <c r="Q46" s="72" t="s">
        <v>32</v>
      </c>
      <c r="R46" s="72" t="s">
        <v>33</v>
      </c>
      <c r="S46" s="72" t="s">
        <v>34</v>
      </c>
      <c r="T46" s="72" t="s">
        <v>35</v>
      </c>
      <c r="U46" s="72" t="s">
        <v>36</v>
      </c>
      <c r="V46" s="72" t="s">
        <v>123</v>
      </c>
      <c r="W46" s="72" t="s">
        <v>245</v>
      </c>
      <c r="X46" s="72" t="s">
        <v>246</v>
      </c>
      <c r="Y46" s="72" t="s">
        <v>247</v>
      </c>
      <c r="Z46" s="72" t="s">
        <v>248</v>
      </c>
    </row>
    <row r="47" spans="1:26">
      <c r="A47" s="133">
        <f>R43</f>
        <v>0.41323034368951839</v>
      </c>
      <c r="B47" t="s">
        <v>125</v>
      </c>
      <c r="C47" s="34">
        <f>C$53*$A47</f>
        <v>2745.6367205883307</v>
      </c>
      <c r="D47" s="34">
        <f t="shared" ref="D47:S52" si="12">D$53*$A47</f>
        <v>2777.6993800625792</v>
      </c>
      <c r="E47" s="34">
        <f t="shared" si="12"/>
        <v>2809.7620395368276</v>
      </c>
      <c r="F47" s="34">
        <f t="shared" si="12"/>
        <v>2841.8246990110765</v>
      </c>
      <c r="G47" s="34">
        <f t="shared" si="12"/>
        <v>2873.8873584853245</v>
      </c>
      <c r="H47" s="34">
        <f t="shared" si="12"/>
        <v>2905.950017959573</v>
      </c>
      <c r="I47" s="34">
        <f t="shared" si="12"/>
        <v>2938.0126774338219</v>
      </c>
      <c r="J47" s="34">
        <f t="shared" si="12"/>
        <v>2970.0753369080699</v>
      </c>
      <c r="K47" s="34">
        <f t="shared" si="12"/>
        <v>3002.1379963823183</v>
      </c>
      <c r="L47" s="34">
        <f t="shared" si="12"/>
        <v>3022.0649827645138</v>
      </c>
      <c r="M47" s="34">
        <f t="shared" si="12"/>
        <v>3041.9919691467098</v>
      </c>
      <c r="N47" s="34">
        <f t="shared" si="12"/>
        <v>3061.9189555289049</v>
      </c>
      <c r="O47" s="34">
        <f t="shared" si="12"/>
        <v>3081.8459419111009</v>
      </c>
      <c r="P47" s="34">
        <f t="shared" si="12"/>
        <v>3101.7729282932955</v>
      </c>
      <c r="Q47" s="34">
        <f t="shared" si="12"/>
        <v>3121.6999146754915</v>
      </c>
      <c r="R47" s="34">
        <f t="shared" si="12"/>
        <v>3141.6269010576875</v>
      </c>
      <c r="S47" s="34">
        <f t="shared" si="12"/>
        <v>3161.5538874398826</v>
      </c>
      <c r="T47" s="34">
        <f t="shared" ref="S47:Z52" si="13">T$53*$A47</f>
        <v>3181.4808738220781</v>
      </c>
      <c r="U47" s="34">
        <f t="shared" si="13"/>
        <v>3201.4078602042737</v>
      </c>
      <c r="V47" s="34">
        <f t="shared" si="13"/>
        <v>3221.3348465864692</v>
      </c>
      <c r="W47" s="34">
        <f t="shared" si="13"/>
        <v>3241.2618329686647</v>
      </c>
      <c r="X47" s="34">
        <f t="shared" si="13"/>
        <v>3261.1888193508598</v>
      </c>
      <c r="Y47" s="34">
        <f t="shared" si="13"/>
        <v>3281.1158057330558</v>
      </c>
      <c r="Z47" s="34">
        <f t="shared" si="13"/>
        <v>3301.0427921152514</v>
      </c>
    </row>
    <row r="48" spans="1:26">
      <c r="A48" s="133">
        <f>G43</f>
        <v>4.0004117379195667E-2</v>
      </c>
      <c r="B48" t="s">
        <v>225</v>
      </c>
      <c r="C48" s="34">
        <f t="shared" ref="C48:C52" si="14">C$53*$A48</f>
        <v>265.80035887580311</v>
      </c>
      <c r="D48" s="34">
        <f t="shared" si="12"/>
        <v>268.90428968021837</v>
      </c>
      <c r="E48" s="34">
        <f t="shared" si="12"/>
        <v>272.00822048463368</v>
      </c>
      <c r="F48" s="34">
        <f t="shared" si="12"/>
        <v>275.112151289049</v>
      </c>
      <c r="G48" s="34">
        <f t="shared" si="12"/>
        <v>278.21608209346425</v>
      </c>
      <c r="H48" s="34">
        <f t="shared" si="12"/>
        <v>281.32001289787956</v>
      </c>
      <c r="I48" s="34">
        <f t="shared" si="12"/>
        <v>284.42394370229488</v>
      </c>
      <c r="J48" s="34">
        <f t="shared" si="12"/>
        <v>287.52787450671013</v>
      </c>
      <c r="K48" s="34">
        <f t="shared" si="12"/>
        <v>290.63180531112545</v>
      </c>
      <c r="L48" s="34">
        <f t="shared" si="12"/>
        <v>292.56090251906409</v>
      </c>
      <c r="M48" s="34">
        <f t="shared" si="12"/>
        <v>294.48999972700278</v>
      </c>
      <c r="N48" s="34">
        <f t="shared" si="12"/>
        <v>296.41909693494142</v>
      </c>
      <c r="O48" s="34">
        <f t="shared" si="12"/>
        <v>298.34819414288012</v>
      </c>
      <c r="P48" s="34">
        <f t="shared" si="12"/>
        <v>300.2772913508187</v>
      </c>
      <c r="Q48" s="34">
        <f t="shared" si="12"/>
        <v>302.2063885587574</v>
      </c>
      <c r="R48" s="34">
        <f t="shared" si="12"/>
        <v>304.13548576669609</v>
      </c>
      <c r="S48" s="34">
        <f t="shared" si="13"/>
        <v>306.06458297463473</v>
      </c>
      <c r="T48" s="34">
        <f t="shared" si="13"/>
        <v>307.99368018257343</v>
      </c>
      <c r="U48" s="34">
        <f t="shared" si="13"/>
        <v>309.92277739051207</v>
      </c>
      <c r="V48" s="34">
        <f t="shared" si="13"/>
        <v>311.85187459845071</v>
      </c>
      <c r="W48" s="34">
        <f t="shared" si="13"/>
        <v>313.7809718063894</v>
      </c>
      <c r="X48" s="34">
        <f t="shared" si="13"/>
        <v>315.71006901432798</v>
      </c>
      <c r="Y48" s="34">
        <f t="shared" si="13"/>
        <v>317.63916622226668</v>
      </c>
      <c r="Z48" s="34">
        <f t="shared" si="13"/>
        <v>319.56826343020538</v>
      </c>
    </row>
    <row r="49" spans="1:26">
      <c r="A49" s="133">
        <f>I43</f>
        <v>0.27867615635568155</v>
      </c>
      <c r="B49" s="26" t="s">
        <v>230</v>
      </c>
      <c r="C49" s="34">
        <f t="shared" si="14"/>
        <v>1851.6149642134383</v>
      </c>
      <c r="D49" s="34">
        <f t="shared" si="12"/>
        <v>1873.2375261604818</v>
      </c>
      <c r="E49" s="34">
        <f t="shared" si="12"/>
        <v>1894.8600881075249</v>
      </c>
      <c r="F49" s="34">
        <f t="shared" si="12"/>
        <v>1916.4826500545687</v>
      </c>
      <c r="G49" s="34">
        <f t="shared" si="12"/>
        <v>1938.1052120016118</v>
      </c>
      <c r="H49" s="34">
        <f t="shared" si="12"/>
        <v>1959.7277739486551</v>
      </c>
      <c r="I49" s="34">
        <f t="shared" si="12"/>
        <v>1981.3503358956987</v>
      </c>
      <c r="J49" s="34">
        <f t="shared" si="12"/>
        <v>2002.972897842742</v>
      </c>
      <c r="K49" s="34">
        <f t="shared" si="12"/>
        <v>2024.5954597897853</v>
      </c>
      <c r="L49" s="34">
        <f t="shared" si="12"/>
        <v>2038.0339113883799</v>
      </c>
      <c r="M49" s="34">
        <f t="shared" si="12"/>
        <v>2051.472362986975</v>
      </c>
      <c r="N49" s="34">
        <f t="shared" si="12"/>
        <v>2064.9108145855694</v>
      </c>
      <c r="O49" s="34">
        <f t="shared" si="12"/>
        <v>2078.3492661841642</v>
      </c>
      <c r="P49" s="34">
        <f t="shared" si="12"/>
        <v>2091.7877177827586</v>
      </c>
      <c r="Q49" s="34">
        <f t="shared" si="12"/>
        <v>2105.2261693813534</v>
      </c>
      <c r="R49" s="34">
        <f t="shared" si="12"/>
        <v>2118.6646209799487</v>
      </c>
      <c r="S49" s="34">
        <f t="shared" si="13"/>
        <v>2132.1030725785431</v>
      </c>
      <c r="T49" s="34">
        <f t="shared" si="13"/>
        <v>2145.5415241771379</v>
      </c>
      <c r="U49" s="34">
        <f t="shared" si="13"/>
        <v>2158.9799757757328</v>
      </c>
      <c r="V49" s="34">
        <f t="shared" si="13"/>
        <v>2172.4184273743272</v>
      </c>
      <c r="W49" s="34">
        <f t="shared" si="13"/>
        <v>2185.856878972922</v>
      </c>
      <c r="X49" s="34">
        <f t="shared" si="13"/>
        <v>2199.2953305715164</v>
      </c>
      <c r="Y49" s="34">
        <f t="shared" si="13"/>
        <v>2212.7337821701117</v>
      </c>
      <c r="Z49" s="34">
        <f t="shared" si="13"/>
        <v>2226.1722337687065</v>
      </c>
    </row>
    <row r="50" spans="1:26">
      <c r="A50" s="133">
        <f>F43</f>
        <v>8.9663194571921886E-2</v>
      </c>
      <c r="B50" s="26" t="s">
        <v>231</v>
      </c>
      <c r="C50" s="34">
        <f t="shared" si="14"/>
        <v>595.75140901776297</v>
      </c>
      <c r="D50" s="34">
        <f t="shared" si="12"/>
        <v>602.70840169469193</v>
      </c>
      <c r="E50" s="34">
        <f t="shared" si="12"/>
        <v>609.66539437162078</v>
      </c>
      <c r="F50" s="34">
        <f t="shared" si="12"/>
        <v>616.62238704854985</v>
      </c>
      <c r="G50" s="34">
        <f t="shared" si="12"/>
        <v>623.57937972547882</v>
      </c>
      <c r="H50" s="34">
        <f t="shared" si="12"/>
        <v>630.53637240240766</v>
      </c>
      <c r="I50" s="34">
        <f t="shared" si="12"/>
        <v>637.49336507933674</v>
      </c>
      <c r="J50" s="34">
        <f t="shared" si="12"/>
        <v>644.45035775626559</v>
      </c>
      <c r="K50" s="34">
        <f t="shared" si="12"/>
        <v>651.40735043319455</v>
      </c>
      <c r="L50" s="34">
        <f t="shared" si="12"/>
        <v>655.73113082469774</v>
      </c>
      <c r="M50" s="34">
        <f t="shared" si="12"/>
        <v>660.05491121620082</v>
      </c>
      <c r="N50" s="34">
        <f t="shared" si="12"/>
        <v>664.3786916077039</v>
      </c>
      <c r="O50" s="34">
        <f t="shared" si="12"/>
        <v>668.70247199920709</v>
      </c>
      <c r="P50" s="34">
        <f t="shared" si="12"/>
        <v>673.02625239071006</v>
      </c>
      <c r="Q50" s="34">
        <f t="shared" si="12"/>
        <v>677.35003278221325</v>
      </c>
      <c r="R50" s="34">
        <f t="shared" si="12"/>
        <v>681.67381317371655</v>
      </c>
      <c r="S50" s="34">
        <f t="shared" si="13"/>
        <v>685.99759356521952</v>
      </c>
      <c r="T50" s="34">
        <f t="shared" si="13"/>
        <v>690.32137395672271</v>
      </c>
      <c r="U50" s="34">
        <f t="shared" si="13"/>
        <v>694.64515434822579</v>
      </c>
      <c r="V50" s="34">
        <f t="shared" si="13"/>
        <v>698.96893473972887</v>
      </c>
      <c r="W50" s="34">
        <f t="shared" si="13"/>
        <v>703.29271513123206</v>
      </c>
      <c r="X50" s="34">
        <f t="shared" si="13"/>
        <v>707.61649552273502</v>
      </c>
      <c r="Y50" s="34">
        <f t="shared" si="13"/>
        <v>711.94027591423833</v>
      </c>
      <c r="Z50" s="34">
        <f t="shared" si="13"/>
        <v>716.26405630574141</v>
      </c>
    </row>
    <row r="51" spans="1:26">
      <c r="A51" s="133">
        <f>H43+L43+N43+O43</f>
        <v>0.15859714480030726</v>
      </c>
      <c r="B51" t="s">
        <v>224</v>
      </c>
      <c r="C51" s="34">
        <f t="shared" si="14"/>
        <v>1053.7709807471563</v>
      </c>
      <c r="D51" s="34">
        <f t="shared" si="12"/>
        <v>1066.0765781578368</v>
      </c>
      <c r="E51" s="34">
        <f t="shared" si="12"/>
        <v>1078.3821755685171</v>
      </c>
      <c r="F51" s="34">
        <f t="shared" si="12"/>
        <v>1090.6877729791977</v>
      </c>
      <c r="G51" s="34">
        <f t="shared" si="12"/>
        <v>1102.993370389878</v>
      </c>
      <c r="H51" s="34">
        <f t="shared" si="12"/>
        <v>1115.2989678005583</v>
      </c>
      <c r="I51" s="34">
        <f t="shared" si="12"/>
        <v>1127.6045652112391</v>
      </c>
      <c r="J51" s="34">
        <f t="shared" si="12"/>
        <v>1139.9101626219194</v>
      </c>
      <c r="K51" s="34">
        <f t="shared" si="12"/>
        <v>1152.2157600325997</v>
      </c>
      <c r="L51" s="34">
        <f t="shared" si="12"/>
        <v>1159.8637055258412</v>
      </c>
      <c r="M51" s="34">
        <f t="shared" si="12"/>
        <v>1167.5116510190826</v>
      </c>
      <c r="N51" s="34">
        <f t="shared" si="12"/>
        <v>1175.1595965123238</v>
      </c>
      <c r="O51" s="34">
        <f t="shared" si="12"/>
        <v>1182.8075420055652</v>
      </c>
      <c r="P51" s="34">
        <f t="shared" si="12"/>
        <v>1190.4554874988064</v>
      </c>
      <c r="Q51" s="34">
        <f t="shared" si="12"/>
        <v>1198.1034329920476</v>
      </c>
      <c r="R51" s="34">
        <f t="shared" si="12"/>
        <v>1205.7513784852893</v>
      </c>
      <c r="S51" s="34">
        <f t="shared" si="13"/>
        <v>1213.3993239785304</v>
      </c>
      <c r="T51" s="34">
        <f t="shared" si="13"/>
        <v>1221.0472694717719</v>
      </c>
      <c r="U51" s="34">
        <f t="shared" si="13"/>
        <v>1228.6952149650131</v>
      </c>
      <c r="V51" s="34">
        <f t="shared" si="13"/>
        <v>1236.3431604582543</v>
      </c>
      <c r="W51" s="34">
        <f t="shared" si="13"/>
        <v>1243.9911059514957</v>
      </c>
      <c r="X51" s="34">
        <f t="shared" si="13"/>
        <v>1251.6390514447369</v>
      </c>
      <c r="Y51" s="34">
        <f t="shared" si="13"/>
        <v>1259.2869969379783</v>
      </c>
      <c r="Z51" s="34">
        <f t="shared" si="13"/>
        <v>1266.9349424312197</v>
      </c>
    </row>
    <row r="52" spans="1:26">
      <c r="A52" s="133">
        <f>P43+Q43</f>
        <v>1.9829043203377139E-2</v>
      </c>
      <c r="B52" s="26" t="s">
        <v>229</v>
      </c>
      <c r="C52" s="34">
        <f t="shared" si="14"/>
        <v>131.75060831019437</v>
      </c>
      <c r="D52" s="34">
        <f t="shared" si="12"/>
        <v>133.28914939179444</v>
      </c>
      <c r="E52" s="34">
        <f t="shared" si="12"/>
        <v>134.82769047339451</v>
      </c>
      <c r="F52" s="34">
        <f t="shared" si="12"/>
        <v>136.36623155499461</v>
      </c>
      <c r="G52" s="34">
        <f t="shared" si="12"/>
        <v>137.90477263659466</v>
      </c>
      <c r="H52" s="34">
        <f t="shared" si="12"/>
        <v>139.44331371819473</v>
      </c>
      <c r="I52" s="34">
        <f t="shared" si="12"/>
        <v>140.98185479979483</v>
      </c>
      <c r="J52" s="34">
        <f t="shared" si="12"/>
        <v>142.52039588139488</v>
      </c>
      <c r="K52" s="34">
        <f t="shared" si="12"/>
        <v>144.05893696299498</v>
      </c>
      <c r="L52" s="34">
        <f t="shared" si="12"/>
        <v>145.01514233348573</v>
      </c>
      <c r="M52" s="34">
        <f t="shared" si="12"/>
        <v>145.97134770397651</v>
      </c>
      <c r="N52" s="34">
        <f t="shared" si="12"/>
        <v>146.92755307446726</v>
      </c>
      <c r="O52" s="34">
        <f t="shared" si="12"/>
        <v>147.88375844495803</v>
      </c>
      <c r="P52" s="34">
        <f t="shared" si="12"/>
        <v>148.83996381544878</v>
      </c>
      <c r="Q52" s="34">
        <f t="shared" si="12"/>
        <v>149.79616918593956</v>
      </c>
      <c r="R52" s="34">
        <f t="shared" si="12"/>
        <v>150.75237455643037</v>
      </c>
      <c r="S52" s="34">
        <f t="shared" si="13"/>
        <v>151.70857992692109</v>
      </c>
      <c r="T52" s="34">
        <f t="shared" si="13"/>
        <v>152.66478529741187</v>
      </c>
      <c r="U52" s="34">
        <f t="shared" si="13"/>
        <v>153.62099066790265</v>
      </c>
      <c r="V52" s="34">
        <f t="shared" si="13"/>
        <v>154.5771960383934</v>
      </c>
      <c r="W52" s="34">
        <f t="shared" si="13"/>
        <v>155.53340140888417</v>
      </c>
      <c r="X52" s="34">
        <f t="shared" si="13"/>
        <v>156.48960677937492</v>
      </c>
      <c r="Y52" s="34">
        <f t="shared" si="13"/>
        <v>157.4458121498657</v>
      </c>
      <c r="Z52" s="34">
        <f t="shared" si="13"/>
        <v>158.40201752035648</v>
      </c>
    </row>
    <row r="53" spans="1:26">
      <c r="A53" s="133">
        <f>SUM(A47:A52)</f>
        <v>1.000000000000002</v>
      </c>
      <c r="B53" s="53"/>
      <c r="C53" s="34">
        <f>C$38*$A53</f>
        <v>6644.3250417526733</v>
      </c>
      <c r="D53" s="34">
        <f t="shared" ref="D53:Z53" si="15">D$38*$A53</f>
        <v>6721.91532514759</v>
      </c>
      <c r="E53" s="34">
        <f t="shared" si="15"/>
        <v>6799.5056085425058</v>
      </c>
      <c r="F53" s="34">
        <f t="shared" si="15"/>
        <v>6877.0958919374234</v>
      </c>
      <c r="G53" s="34">
        <f t="shared" si="15"/>
        <v>6954.6861753323392</v>
      </c>
      <c r="H53" s="34">
        <f t="shared" si="15"/>
        <v>7032.276458727255</v>
      </c>
      <c r="I53" s="34">
        <f t="shared" si="15"/>
        <v>7109.8667421221726</v>
      </c>
      <c r="J53" s="34">
        <f t="shared" si="15"/>
        <v>7187.4570255170884</v>
      </c>
      <c r="K53" s="34">
        <f t="shared" si="15"/>
        <v>7265.0473089120051</v>
      </c>
      <c r="L53" s="34">
        <f t="shared" si="15"/>
        <v>7313.2697753559687</v>
      </c>
      <c r="M53" s="34">
        <f t="shared" si="15"/>
        <v>7361.4922417999333</v>
      </c>
      <c r="N53" s="34">
        <f t="shared" si="15"/>
        <v>7409.7147082438969</v>
      </c>
      <c r="O53" s="34">
        <f t="shared" si="15"/>
        <v>7457.9371746878614</v>
      </c>
      <c r="P53" s="34">
        <f t="shared" si="15"/>
        <v>7506.1596411318242</v>
      </c>
      <c r="Q53" s="34">
        <f t="shared" si="15"/>
        <v>7554.3821075757887</v>
      </c>
      <c r="R53" s="34">
        <f t="shared" si="15"/>
        <v>7602.6045740197542</v>
      </c>
      <c r="S53" s="34">
        <f t="shared" si="15"/>
        <v>7650.8270404637169</v>
      </c>
      <c r="T53" s="34">
        <f t="shared" si="15"/>
        <v>7699.0495069076815</v>
      </c>
      <c r="U53" s="34">
        <f t="shared" si="15"/>
        <v>7747.2719733516451</v>
      </c>
      <c r="V53" s="34">
        <f t="shared" si="15"/>
        <v>7795.4944397956087</v>
      </c>
      <c r="W53" s="34">
        <f t="shared" si="15"/>
        <v>7843.7169062395733</v>
      </c>
      <c r="X53" s="34">
        <f t="shared" si="15"/>
        <v>7891.939372683536</v>
      </c>
      <c r="Y53" s="34">
        <f t="shared" si="15"/>
        <v>7940.1618391275015</v>
      </c>
      <c r="Z53" s="34">
        <f t="shared" si="15"/>
        <v>7988.384305571466</v>
      </c>
    </row>
    <row r="55" spans="1:26">
      <c r="A55" s="26" t="s">
        <v>408</v>
      </c>
      <c r="G55"/>
      <c r="I55"/>
    </row>
    <row r="56" spans="1:26">
      <c r="B56" s="26" t="s">
        <v>585</v>
      </c>
      <c r="G56"/>
      <c r="I56"/>
    </row>
    <row r="57" spans="1:26">
      <c r="B57" s="250">
        <v>0.4</v>
      </c>
      <c r="C57">
        <f>B57*C38</f>
        <v>2657.730016701064</v>
      </c>
      <c r="G57"/>
      <c r="I57"/>
    </row>
    <row r="58" spans="1:26">
      <c r="A58" s="5" t="s">
        <v>367</v>
      </c>
      <c r="G58"/>
      <c r="I58"/>
    </row>
    <row r="59" spans="1:26">
      <c r="A59" s="26" t="s">
        <v>366</v>
      </c>
      <c r="B59" s="26" t="s">
        <v>411</v>
      </c>
      <c r="G59"/>
      <c r="I59"/>
    </row>
    <row r="60" spans="1:26">
      <c r="B60" s="249">
        <v>300</v>
      </c>
      <c r="C60" s="349">
        <f>$B$57*C47*$B$60</f>
        <v>329476.4064705997</v>
      </c>
      <c r="D60" s="349">
        <f t="shared" ref="D60:Z60" si="16">$B$57*D47*$B$60</f>
        <v>333323.9256075095</v>
      </c>
      <c r="E60" s="349">
        <f t="shared" si="16"/>
        <v>337171.44474441936</v>
      </c>
      <c r="F60" s="349">
        <f t="shared" si="16"/>
        <v>341018.96388132917</v>
      </c>
      <c r="G60" s="349">
        <f t="shared" si="16"/>
        <v>344866.48301823897</v>
      </c>
      <c r="H60" s="349">
        <f t="shared" si="16"/>
        <v>348714.00215514877</v>
      </c>
      <c r="I60" s="349">
        <f t="shared" si="16"/>
        <v>352561.52129205863</v>
      </c>
      <c r="J60" s="349">
        <f t="shared" si="16"/>
        <v>356409.04042896844</v>
      </c>
      <c r="K60" s="349">
        <f t="shared" si="16"/>
        <v>360256.55956587818</v>
      </c>
      <c r="L60" s="349">
        <f t="shared" si="16"/>
        <v>362647.79793174169</v>
      </c>
      <c r="M60" s="349">
        <f t="shared" si="16"/>
        <v>365039.0362976052</v>
      </c>
      <c r="N60" s="349">
        <f t="shared" si="16"/>
        <v>367430.27466346859</v>
      </c>
      <c r="O60" s="349">
        <f t="shared" si="16"/>
        <v>369821.51302933216</v>
      </c>
      <c r="P60" s="349">
        <f t="shared" si="16"/>
        <v>372212.75139519549</v>
      </c>
      <c r="Q60" s="349">
        <f t="shared" si="16"/>
        <v>374603.989761059</v>
      </c>
      <c r="R60" s="349">
        <f t="shared" si="16"/>
        <v>376995.22812692251</v>
      </c>
      <c r="S60" s="349">
        <f t="shared" si="16"/>
        <v>379386.46649278596</v>
      </c>
      <c r="T60" s="349">
        <f t="shared" si="16"/>
        <v>381777.70485864941</v>
      </c>
      <c r="U60" s="349">
        <f t="shared" si="16"/>
        <v>384168.94322451291</v>
      </c>
      <c r="V60" s="349">
        <f t="shared" si="16"/>
        <v>386560.18159037631</v>
      </c>
      <c r="W60" s="349">
        <f t="shared" si="16"/>
        <v>388951.41995623976</v>
      </c>
      <c r="X60" s="349">
        <f t="shared" si="16"/>
        <v>391342.65832210321</v>
      </c>
      <c r="Y60" s="349">
        <f t="shared" si="16"/>
        <v>393733.89668796671</v>
      </c>
      <c r="Z60" s="349">
        <f t="shared" si="16"/>
        <v>396125.13505383022</v>
      </c>
    </row>
    <row r="61" spans="1:26">
      <c r="A61" s="26" t="s">
        <v>412</v>
      </c>
      <c r="G61"/>
      <c r="I61"/>
    </row>
    <row r="62" spans="1:26">
      <c r="A62" s="248">
        <v>0.02</v>
      </c>
      <c r="B62" s="54" t="s">
        <v>425</v>
      </c>
      <c r="D62" s="208">
        <f>D60*$A$62</f>
        <v>6666.47851215019</v>
      </c>
      <c r="E62" s="208">
        <f>E60*$A$62</f>
        <v>6743.4288948883877</v>
      </c>
      <c r="F62" s="208">
        <f t="shared" ref="F62:Z62" si="17">F60*$A$62</f>
        <v>6820.3792776265836</v>
      </c>
      <c r="G62" s="208">
        <f t="shared" si="17"/>
        <v>6897.3296603647796</v>
      </c>
      <c r="H62" s="208">
        <f t="shared" si="17"/>
        <v>6974.2800431029755</v>
      </c>
      <c r="I62" s="208">
        <f t="shared" si="17"/>
        <v>7051.2304258411732</v>
      </c>
      <c r="J62" s="208">
        <f t="shared" si="17"/>
        <v>7128.1808085793691</v>
      </c>
      <c r="K62" s="208">
        <f t="shared" si="17"/>
        <v>7205.1311913175641</v>
      </c>
      <c r="L62" s="208">
        <f t="shared" si="17"/>
        <v>7252.9559586348341</v>
      </c>
      <c r="M62" s="208">
        <f t="shared" si="17"/>
        <v>7300.7807259521041</v>
      </c>
      <c r="N62" s="208">
        <f t="shared" si="17"/>
        <v>7348.6054932693723</v>
      </c>
      <c r="O62" s="208">
        <f t="shared" si="17"/>
        <v>7396.4302605866433</v>
      </c>
      <c r="P62" s="208">
        <f t="shared" si="17"/>
        <v>7444.2550279039096</v>
      </c>
      <c r="Q62" s="208">
        <f t="shared" si="17"/>
        <v>7492.0797952211797</v>
      </c>
      <c r="R62" s="208">
        <f t="shared" si="17"/>
        <v>7539.9045625384506</v>
      </c>
      <c r="S62" s="208">
        <f t="shared" si="17"/>
        <v>7587.7293298557197</v>
      </c>
      <c r="T62" s="208">
        <f t="shared" si="17"/>
        <v>7635.5540971729879</v>
      </c>
      <c r="U62" s="208">
        <f t="shared" si="17"/>
        <v>7683.3788644902588</v>
      </c>
      <c r="V62" s="208">
        <f t="shared" si="17"/>
        <v>7731.2036318075261</v>
      </c>
      <c r="W62" s="208">
        <f t="shared" si="17"/>
        <v>7779.0283991247952</v>
      </c>
      <c r="X62" s="208">
        <f t="shared" si="17"/>
        <v>7826.8531664420643</v>
      </c>
      <c r="Y62" s="208">
        <f t="shared" si="17"/>
        <v>7874.6779337593343</v>
      </c>
      <c r="Z62" s="208">
        <f t="shared" si="17"/>
        <v>7922.5027010766044</v>
      </c>
    </row>
    <row r="63" spans="1:26">
      <c r="A63" s="248">
        <v>0.01</v>
      </c>
      <c r="B63" s="78" t="s">
        <v>418</v>
      </c>
      <c r="D63" s="208">
        <f>D60*$A$63</f>
        <v>3333.239256075095</v>
      </c>
      <c r="E63" s="208">
        <f>E60*$A$63</f>
        <v>3371.7144474441939</v>
      </c>
      <c r="F63" s="208">
        <f t="shared" ref="F63:Z63" si="18">F60*$A$63</f>
        <v>3410.1896388132918</v>
      </c>
      <c r="G63" s="208">
        <f t="shared" si="18"/>
        <v>3448.6648301823898</v>
      </c>
      <c r="H63" s="208">
        <f t="shared" si="18"/>
        <v>3487.1400215514877</v>
      </c>
      <c r="I63" s="208">
        <f t="shared" si="18"/>
        <v>3525.6152129205866</v>
      </c>
      <c r="J63" s="208">
        <f t="shared" si="18"/>
        <v>3564.0904042896846</v>
      </c>
      <c r="K63" s="208">
        <f t="shared" si="18"/>
        <v>3602.5655956587821</v>
      </c>
      <c r="L63" s="208">
        <f t="shared" si="18"/>
        <v>3626.4779793174171</v>
      </c>
      <c r="M63" s="208">
        <f t="shared" si="18"/>
        <v>3650.3903629760521</v>
      </c>
      <c r="N63" s="208">
        <f t="shared" si="18"/>
        <v>3674.3027466346862</v>
      </c>
      <c r="O63" s="208">
        <f t="shared" si="18"/>
        <v>3698.2151302933216</v>
      </c>
      <c r="P63" s="208">
        <f t="shared" si="18"/>
        <v>3722.1275139519548</v>
      </c>
      <c r="Q63" s="208">
        <f t="shared" si="18"/>
        <v>3746.0398976105898</v>
      </c>
      <c r="R63" s="208">
        <f t="shared" si="18"/>
        <v>3769.9522812692253</v>
      </c>
      <c r="S63" s="208">
        <f t="shared" si="18"/>
        <v>3793.8646649278598</v>
      </c>
      <c r="T63" s="208">
        <f t="shared" si="18"/>
        <v>3817.7770485864939</v>
      </c>
      <c r="U63" s="208">
        <f t="shared" si="18"/>
        <v>3841.6894322451294</v>
      </c>
      <c r="V63" s="208">
        <f t="shared" si="18"/>
        <v>3865.6018159037631</v>
      </c>
      <c r="W63" s="208">
        <f t="shared" si="18"/>
        <v>3889.5141995623976</v>
      </c>
      <c r="X63" s="208">
        <f t="shared" si="18"/>
        <v>3913.4265832210322</v>
      </c>
      <c r="Y63" s="208">
        <f t="shared" si="18"/>
        <v>3937.3389668796672</v>
      </c>
      <c r="Z63" s="208">
        <f t="shared" si="18"/>
        <v>3961.2513505383022</v>
      </c>
    </row>
    <row r="64" spans="1:26">
      <c r="A64" s="70"/>
      <c r="B64" s="26"/>
      <c r="G64"/>
      <c r="I64"/>
    </row>
    <row r="65" spans="1:26">
      <c r="A65" s="5" t="s">
        <v>277</v>
      </c>
      <c r="B65" s="26" t="s">
        <v>585</v>
      </c>
      <c r="G65"/>
      <c r="I65"/>
    </row>
    <row r="66" spans="1:26">
      <c r="A66" s="70" t="s">
        <v>366</v>
      </c>
      <c r="B66" s="250">
        <v>0.5</v>
      </c>
      <c r="G66"/>
      <c r="I66"/>
    </row>
    <row r="67" spans="1:26">
      <c r="B67" s="26" t="s">
        <v>411</v>
      </c>
      <c r="C67" s="208"/>
      <c r="D67" s="208"/>
      <c r="E67" s="208"/>
      <c r="F67" s="208"/>
      <c r="G67" s="208"/>
      <c r="H67" s="208"/>
      <c r="I67" s="208"/>
      <c r="J67" s="208"/>
      <c r="K67" s="208"/>
      <c r="L67" s="208"/>
      <c r="M67" s="208"/>
      <c r="N67" s="208"/>
      <c r="O67" s="208"/>
      <c r="P67" s="208"/>
      <c r="Q67" s="208"/>
      <c r="R67" s="208"/>
      <c r="S67" s="208"/>
      <c r="T67" s="208"/>
      <c r="U67" s="208"/>
      <c r="V67" s="208"/>
      <c r="W67" s="208"/>
      <c r="X67" s="208"/>
      <c r="Y67" s="208"/>
      <c r="Z67" s="208"/>
    </row>
    <row r="68" spans="1:26">
      <c r="A68" s="70"/>
      <c r="B68" s="249">
        <v>300</v>
      </c>
      <c r="C68" s="486">
        <f>$B68*$B66*C48</f>
        <v>39870.053831370467</v>
      </c>
      <c r="D68" s="486">
        <f t="shared" ref="D68:Z68" si="19">$B68*$B66*D48</f>
        <v>40335.643452032753</v>
      </c>
      <c r="E68" s="486">
        <f t="shared" si="19"/>
        <v>40801.233072695053</v>
      </c>
      <c r="F68" s="486">
        <f t="shared" si="19"/>
        <v>41266.822693357346</v>
      </c>
      <c r="G68" s="486">
        <f t="shared" si="19"/>
        <v>41732.412314019639</v>
      </c>
      <c r="H68" s="486">
        <f t="shared" si="19"/>
        <v>42198.001934681932</v>
      </c>
      <c r="I68" s="486">
        <f t="shared" si="19"/>
        <v>42663.591555344232</v>
      </c>
      <c r="J68" s="486">
        <f t="shared" si="19"/>
        <v>43129.181176006517</v>
      </c>
      <c r="K68" s="486">
        <f t="shared" si="19"/>
        <v>43594.770796668818</v>
      </c>
      <c r="L68" s="486">
        <f t="shared" si="19"/>
        <v>43884.135377859609</v>
      </c>
      <c r="M68" s="486">
        <f t="shared" si="19"/>
        <v>44173.499959050416</v>
      </c>
      <c r="N68" s="486">
        <f t="shared" si="19"/>
        <v>44462.864540241215</v>
      </c>
      <c r="O68" s="486">
        <f t="shared" si="19"/>
        <v>44752.229121432021</v>
      </c>
      <c r="P68" s="486">
        <f t="shared" si="19"/>
        <v>45041.593702622806</v>
      </c>
      <c r="Q68" s="486">
        <f t="shared" si="19"/>
        <v>45330.958283813612</v>
      </c>
      <c r="R68" s="486">
        <f t="shared" si="19"/>
        <v>45620.322865004411</v>
      </c>
      <c r="S68" s="486">
        <f t="shared" si="19"/>
        <v>45909.68744619521</v>
      </c>
      <c r="T68" s="486">
        <f t="shared" si="19"/>
        <v>46199.052027386017</v>
      </c>
      <c r="U68" s="486">
        <f t="shared" si="19"/>
        <v>46488.416608576808</v>
      </c>
      <c r="V68" s="486">
        <f t="shared" si="19"/>
        <v>46777.781189767607</v>
      </c>
      <c r="W68" s="486">
        <f t="shared" si="19"/>
        <v>47067.145770958414</v>
      </c>
      <c r="X68" s="486">
        <f t="shared" si="19"/>
        <v>47356.510352149198</v>
      </c>
      <c r="Y68" s="486">
        <f t="shared" si="19"/>
        <v>47645.874933340005</v>
      </c>
      <c r="Z68" s="486">
        <f t="shared" si="19"/>
        <v>47935.239514530804</v>
      </c>
    </row>
    <row r="69" spans="1:26">
      <c r="A69" s="248">
        <v>0.1</v>
      </c>
      <c r="B69" s="54" t="s">
        <v>433</v>
      </c>
      <c r="D69" s="208">
        <f>D68*$A$69</f>
        <v>4033.5643452032755</v>
      </c>
      <c r="E69" s="208">
        <f>E68*$A$69</f>
        <v>4080.1233072695054</v>
      </c>
      <c r="F69" s="208">
        <f t="shared" ref="F69:Z69" si="20">F68*$A$69</f>
        <v>4126.6822693357344</v>
      </c>
      <c r="G69" s="208">
        <f t="shared" si="20"/>
        <v>4173.2412314019639</v>
      </c>
      <c r="H69" s="208">
        <f t="shared" si="20"/>
        <v>4219.8001934681934</v>
      </c>
      <c r="I69" s="208">
        <f t="shared" si="20"/>
        <v>4266.3591555344237</v>
      </c>
      <c r="J69" s="208">
        <f t="shared" si="20"/>
        <v>4312.9181176006523</v>
      </c>
      <c r="K69" s="208">
        <f t="shared" si="20"/>
        <v>4359.4770796668818</v>
      </c>
      <c r="L69" s="208">
        <f t="shared" si="20"/>
        <v>4388.4135377859611</v>
      </c>
      <c r="M69" s="208">
        <f t="shared" si="20"/>
        <v>4417.3499959050414</v>
      </c>
      <c r="N69" s="208">
        <f t="shared" si="20"/>
        <v>4446.2864540241217</v>
      </c>
      <c r="O69" s="208">
        <f t="shared" si="20"/>
        <v>4475.2229121432019</v>
      </c>
      <c r="P69" s="208">
        <f t="shared" si="20"/>
        <v>4504.1593702622804</v>
      </c>
      <c r="Q69" s="208">
        <f t="shared" si="20"/>
        <v>4533.0958283813616</v>
      </c>
      <c r="R69" s="208">
        <f t="shared" si="20"/>
        <v>4562.0322865004409</v>
      </c>
      <c r="S69" s="208">
        <f t="shared" si="20"/>
        <v>4590.9687446195212</v>
      </c>
      <c r="T69" s="208">
        <f t="shared" si="20"/>
        <v>4619.9052027386015</v>
      </c>
      <c r="U69" s="208">
        <f t="shared" si="20"/>
        <v>4648.8416608576808</v>
      </c>
      <c r="V69" s="208">
        <f t="shared" si="20"/>
        <v>4677.7781189767611</v>
      </c>
      <c r="W69" s="208">
        <f t="shared" si="20"/>
        <v>4706.7145770958414</v>
      </c>
      <c r="X69" s="208">
        <f t="shared" si="20"/>
        <v>4735.6510352149198</v>
      </c>
      <c r="Y69" s="208">
        <f t="shared" si="20"/>
        <v>4764.587493334001</v>
      </c>
      <c r="Z69" s="208">
        <f t="shared" si="20"/>
        <v>4793.5239514530804</v>
      </c>
    </row>
    <row r="70" spans="1:26">
      <c r="A70" s="248">
        <v>0.05</v>
      </c>
      <c r="B70" s="78" t="s">
        <v>427</v>
      </c>
      <c r="D70" s="208">
        <f>D68*$A$70</f>
        <v>2016.7821726016377</v>
      </c>
      <c r="E70" s="208">
        <f>E68*$A$70</f>
        <v>2040.0616536347527</v>
      </c>
      <c r="F70" s="208">
        <f t="shared" ref="F70:Z70" si="21">F68*$A$70</f>
        <v>2063.3411346678672</v>
      </c>
      <c r="G70" s="208">
        <f t="shared" si="21"/>
        <v>2086.6206157009819</v>
      </c>
      <c r="H70" s="208">
        <f t="shared" si="21"/>
        <v>2109.9000967340967</v>
      </c>
      <c r="I70" s="208">
        <f t="shared" si="21"/>
        <v>2133.1795777672119</v>
      </c>
      <c r="J70" s="208">
        <f t="shared" si="21"/>
        <v>2156.4590588003261</v>
      </c>
      <c r="K70" s="208">
        <f t="shared" si="21"/>
        <v>2179.7385398334409</v>
      </c>
      <c r="L70" s="208">
        <f t="shared" si="21"/>
        <v>2194.2067688929806</v>
      </c>
      <c r="M70" s="208">
        <f t="shared" si="21"/>
        <v>2208.6749979525207</v>
      </c>
      <c r="N70" s="208">
        <f t="shared" si="21"/>
        <v>2223.1432270120608</v>
      </c>
      <c r="O70" s="208">
        <f t="shared" si="21"/>
        <v>2237.611456071601</v>
      </c>
      <c r="P70" s="208">
        <f t="shared" si="21"/>
        <v>2252.0796851311402</v>
      </c>
      <c r="Q70" s="208">
        <f t="shared" si="21"/>
        <v>2266.5479141906808</v>
      </c>
      <c r="R70" s="208">
        <f t="shared" si="21"/>
        <v>2281.0161432502205</v>
      </c>
      <c r="S70" s="208">
        <f t="shared" si="21"/>
        <v>2295.4843723097606</v>
      </c>
      <c r="T70" s="208">
        <f t="shared" si="21"/>
        <v>2309.9526013693007</v>
      </c>
      <c r="U70" s="208">
        <f t="shared" si="21"/>
        <v>2324.4208304288404</v>
      </c>
      <c r="V70" s="208">
        <f t="shared" si="21"/>
        <v>2338.8890594883806</v>
      </c>
      <c r="W70" s="208">
        <f t="shared" si="21"/>
        <v>2353.3572885479207</v>
      </c>
      <c r="X70" s="208">
        <f t="shared" si="21"/>
        <v>2367.8255176074599</v>
      </c>
      <c r="Y70" s="208">
        <f t="shared" si="21"/>
        <v>2382.2937466670005</v>
      </c>
      <c r="Z70" s="208">
        <f t="shared" si="21"/>
        <v>2396.7619757265402</v>
      </c>
    </row>
    <row r="85" spans="1:12" s="76" customFormat="1">
      <c r="A85"/>
      <c r="B85"/>
      <c r="C85"/>
      <c r="D85"/>
      <c r="E85"/>
      <c r="F85"/>
      <c r="G85" s="74"/>
      <c r="H85"/>
      <c r="I85" s="74"/>
      <c r="J85"/>
      <c r="K85"/>
      <c r="L85"/>
    </row>
  </sheetData>
  <mergeCells count="3">
    <mergeCell ref="B30:E30"/>
    <mergeCell ref="F30:I30"/>
    <mergeCell ref="A30:A31"/>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X319"/>
  <sheetViews>
    <sheetView topLeftCell="A197" zoomScale="75" zoomScaleNormal="75" workbookViewId="0">
      <selection activeCell="F316" sqref="F316"/>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58" customWidth="1"/>
    <col min="33" max="33" width="14.28515625" customWidth="1"/>
    <col min="34" max="34" width="12.140625" bestFit="1" customWidth="1"/>
    <col min="35" max="35" width="11.140625" bestFit="1" customWidth="1"/>
  </cols>
  <sheetData>
    <row r="1" spans="1:33"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c r="AD1" s="356"/>
    </row>
    <row r="2" spans="1:33"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c r="AD2" s="357"/>
    </row>
    <row r="3" spans="1:33">
      <c r="A3" s="69"/>
      <c r="B3" s="69"/>
      <c r="D3" s="225"/>
      <c r="E3" s="234"/>
      <c r="AC3" s="281"/>
    </row>
    <row r="4" spans="1:33">
      <c r="A4" s="41"/>
      <c r="B4" s="41"/>
      <c r="C4" s="45"/>
      <c r="D4" s="226"/>
      <c r="E4" s="234"/>
      <c r="AC4" s="281"/>
    </row>
    <row r="5" spans="1:33">
      <c r="A5" s="44" t="s">
        <v>221</v>
      </c>
      <c r="B5" s="44"/>
      <c r="C5" s="55" t="s">
        <v>405</v>
      </c>
      <c r="D5" s="226"/>
      <c r="E5" s="234"/>
      <c r="F5" s="312"/>
      <c r="G5" s="312"/>
      <c r="H5" s="312"/>
      <c r="I5" s="312"/>
      <c r="J5" s="312"/>
      <c r="K5" s="312"/>
      <c r="L5" s="312"/>
      <c r="M5" s="312"/>
      <c r="N5" s="312"/>
      <c r="O5" s="312"/>
      <c r="P5" s="312"/>
      <c r="Q5" s="312"/>
      <c r="R5" s="312"/>
      <c r="S5" s="312"/>
      <c r="T5" s="312"/>
      <c r="U5" s="312"/>
      <c r="V5" s="312"/>
      <c r="W5" s="312"/>
      <c r="X5" s="312"/>
      <c r="Y5" s="312"/>
      <c r="Z5" s="312"/>
      <c r="AA5" s="312"/>
      <c r="AB5" s="312"/>
      <c r="AC5" s="407"/>
      <c r="AD5" s="359"/>
    </row>
    <row r="6" spans="1:33">
      <c r="A6" s="44"/>
      <c r="B6" s="44"/>
      <c r="C6" s="55" t="s">
        <v>404</v>
      </c>
      <c r="D6" s="226"/>
      <c r="E6" s="234"/>
      <c r="F6" s="312">
        <v>-1146378.74</v>
      </c>
      <c r="G6" s="312">
        <v>-5692500</v>
      </c>
      <c r="I6" s="312"/>
      <c r="K6" s="312"/>
      <c r="L6" s="312"/>
      <c r="M6" s="312"/>
      <c r="N6" s="312"/>
      <c r="O6" s="312"/>
      <c r="P6" s="312"/>
      <c r="Q6" s="312"/>
      <c r="R6" s="312"/>
      <c r="S6" s="312"/>
      <c r="T6" s="312"/>
      <c r="U6" s="312"/>
      <c r="V6" s="312"/>
      <c r="W6" s="312"/>
      <c r="X6" s="312"/>
      <c r="Y6" s="312"/>
      <c r="Z6" s="312"/>
      <c r="AA6" s="312"/>
      <c r="AB6" s="312"/>
      <c r="AC6" s="407"/>
      <c r="AD6" s="359"/>
    </row>
    <row r="7" spans="1:33"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c r="AD7" s="360">
        <f t="shared" ref="AD7:AD64" si="0">SUM(F7:AC7)</f>
        <v>0</v>
      </c>
    </row>
    <row r="8" spans="1:33" s="53" customFormat="1" ht="12">
      <c r="A8" s="58" t="s">
        <v>222</v>
      </c>
      <c r="B8" s="58"/>
      <c r="D8" s="228"/>
      <c r="E8" s="235"/>
      <c r="H8" s="59"/>
      <c r="I8" s="59"/>
      <c r="J8" s="59"/>
      <c r="K8" s="59"/>
      <c r="L8" s="59"/>
      <c r="M8" s="59"/>
      <c r="N8" s="59"/>
      <c r="O8" s="59"/>
      <c r="P8" s="59"/>
      <c r="Q8" s="59"/>
      <c r="R8" s="59"/>
      <c r="S8" s="59"/>
      <c r="T8" s="59"/>
      <c r="U8" s="59"/>
      <c r="V8" s="59"/>
      <c r="W8" s="59"/>
      <c r="X8" s="59"/>
      <c r="Y8" s="59"/>
      <c r="AC8" s="283"/>
      <c r="AD8" s="361">
        <f t="shared" si="0"/>
        <v>0</v>
      </c>
    </row>
    <row r="9" spans="1:33" s="53" customFormat="1" ht="12">
      <c r="A9" s="58"/>
      <c r="B9" s="5" t="s">
        <v>367</v>
      </c>
      <c r="D9" s="228"/>
      <c r="E9" s="235"/>
      <c r="H9" s="404"/>
      <c r="AC9" s="283"/>
      <c r="AD9" s="361">
        <f t="shared" si="0"/>
        <v>0</v>
      </c>
    </row>
    <row r="10" spans="1:33" s="53" customFormat="1" ht="12">
      <c r="A10" s="58"/>
      <c r="B10" s="70" t="s">
        <v>463</v>
      </c>
      <c r="C10" s="70" t="s">
        <v>366</v>
      </c>
      <c r="D10" s="228"/>
      <c r="E10" s="235"/>
      <c r="F10" s="59">
        <f>'A-N Users'!C5</f>
        <v>0</v>
      </c>
      <c r="G10" s="59">
        <f>'A-N Users'!D5</f>
        <v>0</v>
      </c>
      <c r="H10" s="59">
        <f>'A-N Users'!E5</f>
        <v>3658013.375127397</v>
      </c>
      <c r="I10" s="59">
        <f>'A-N Users'!F5</f>
        <v>3632553.6048677638</v>
      </c>
      <c r="J10" s="59">
        <f>'A-N Users'!G5</f>
        <v>3607093.8346081316</v>
      </c>
      <c r="K10" s="59">
        <f>'A-N Users'!H5</f>
        <v>3581634.0643484988</v>
      </c>
      <c r="L10" s="59">
        <f>'A-N Users'!I5</f>
        <v>3556174.2940888666</v>
      </c>
      <c r="M10" s="59">
        <f>'A-N Users'!J5</f>
        <v>3530714.5238292329</v>
      </c>
      <c r="N10" s="59">
        <f>'A-N Users'!K5</f>
        <v>3505254.7535696011</v>
      </c>
      <c r="O10" s="59">
        <f>'A-N Users'!L5</f>
        <v>3556951.6811194094</v>
      </c>
      <c r="P10" s="59">
        <f>'A-N Users'!M5</f>
        <v>3608648.6086692177</v>
      </c>
      <c r="Q10" s="59">
        <f>'A-N Users'!N5</f>
        <v>3660345.5362190264</v>
      </c>
      <c r="R10" s="59">
        <f>'A-N Users'!O5</f>
        <v>3712042.4637688356</v>
      </c>
      <c r="S10" s="59">
        <f>'A-N Users'!P5</f>
        <v>3763739.3913186439</v>
      </c>
      <c r="T10" s="59">
        <f>'A-N Users'!Q5</f>
        <v>3815436.3188684522</v>
      </c>
      <c r="U10" s="59">
        <f>'A-N Users'!R5</f>
        <v>3867133.2464182614</v>
      </c>
      <c r="V10" s="59">
        <f>'A-N Users'!S5</f>
        <v>3918830.1739680697</v>
      </c>
      <c r="W10" s="59">
        <f>'A-N Users'!T5</f>
        <v>3970527.1015178785</v>
      </c>
      <c r="X10" s="59">
        <f>'A-N Users'!U5</f>
        <v>4022224.0290676872</v>
      </c>
      <c r="Y10" s="59">
        <f>'A-N Users'!V5</f>
        <v>4073920.9566174964</v>
      </c>
      <c r="Z10" s="59">
        <f>'A-N Users'!W5</f>
        <v>4125617.8841673052</v>
      </c>
      <c r="AA10" s="59">
        <f>'A-N Users'!X5</f>
        <v>4177314.811717113</v>
      </c>
      <c r="AB10" s="59">
        <f>'A-N Users'!Y5</f>
        <v>4229011.7392669227</v>
      </c>
      <c r="AC10" s="284">
        <f>'A-N Users'!Z5</f>
        <v>4280708.6668167301</v>
      </c>
      <c r="AD10" s="362">
        <f t="shared" si="0"/>
        <v>83853891.059960514</v>
      </c>
    </row>
    <row r="11" spans="1:33" s="53" customFormat="1" ht="12">
      <c r="A11" s="58"/>
      <c r="B11" s="70" t="s">
        <v>462</v>
      </c>
      <c r="C11" s="54" t="s">
        <v>431</v>
      </c>
      <c r="D11" s="228"/>
      <c r="E11" s="235"/>
      <c r="F11" s="59">
        <f>'A-N Users'!C6</f>
        <v>0</v>
      </c>
      <c r="G11" s="59">
        <f>'A-N Users'!D6</f>
        <v>0</v>
      </c>
      <c r="H11" s="59">
        <f>'A-N Users'!E6</f>
        <v>36580.13375127397</v>
      </c>
      <c r="I11" s="59">
        <f>'A-N Users'!F6</f>
        <v>36325.536048677641</v>
      </c>
      <c r="J11" s="59">
        <f>'A-N Users'!G6</f>
        <v>36070.938346081319</v>
      </c>
      <c r="K11" s="59">
        <f>'A-N Users'!H6</f>
        <v>35816.340643484989</v>
      </c>
      <c r="L11" s="59">
        <f>'A-N Users'!I6</f>
        <v>35561.742940888667</v>
      </c>
      <c r="M11" s="59">
        <f>'A-N Users'!J6</f>
        <v>35307.145238292331</v>
      </c>
      <c r="N11" s="59">
        <f>'A-N Users'!K6</f>
        <v>35052.547535696009</v>
      </c>
      <c r="O11" s="59">
        <f>'A-N Users'!L6</f>
        <v>35569.516811194095</v>
      </c>
      <c r="P11" s="59">
        <f>'A-N Users'!M6</f>
        <v>36086.486086692181</v>
      </c>
      <c r="Q11" s="59">
        <f>'A-N Users'!N6</f>
        <v>36603.455362190267</v>
      </c>
      <c r="R11" s="59">
        <f>'A-N Users'!O6</f>
        <v>37120.42463768836</v>
      </c>
      <c r="S11" s="59">
        <f>'A-N Users'!P6</f>
        <v>37637.393913186439</v>
      </c>
      <c r="T11" s="59">
        <f>'A-N Users'!Q6</f>
        <v>38154.363188684525</v>
      </c>
      <c r="U11" s="59">
        <f>'A-N Users'!R6</f>
        <v>38671.332464182618</v>
      </c>
      <c r="V11" s="59">
        <f>'A-N Users'!S6</f>
        <v>39188.301739680697</v>
      </c>
      <c r="W11" s="59">
        <f>'A-N Users'!T6</f>
        <v>39705.271015178783</v>
      </c>
      <c r="X11" s="59">
        <f>'A-N Users'!U6</f>
        <v>40222.240290676877</v>
      </c>
      <c r="Y11" s="59">
        <f>'A-N Users'!V6</f>
        <v>40739.209566174963</v>
      </c>
      <c r="Z11" s="59">
        <f>'A-N Users'!W6</f>
        <v>41256.178841673056</v>
      </c>
      <c r="AA11" s="59">
        <f>'A-N Users'!X6</f>
        <v>41773.148117171128</v>
      </c>
      <c r="AB11" s="59">
        <f>'A-N Users'!Y6</f>
        <v>42290.117392669228</v>
      </c>
      <c r="AC11" s="284">
        <f>'A-N Users'!Z6</f>
        <v>42807.0866681673</v>
      </c>
      <c r="AD11" s="362">
        <f t="shared" si="0"/>
        <v>838538.91059960541</v>
      </c>
    </row>
    <row r="12" spans="1:33" s="53" customFormat="1" ht="12">
      <c r="A12" s="58"/>
      <c r="B12" s="70"/>
      <c r="C12" s="78" t="s">
        <v>418</v>
      </c>
      <c r="D12" s="228"/>
      <c r="E12" s="235"/>
      <c r="F12" s="59">
        <f>'A-N Users'!C7</f>
        <v>0</v>
      </c>
      <c r="G12" s="59">
        <f>'A-N Users'!D7</f>
        <v>0</v>
      </c>
      <c r="H12" s="59">
        <f>'A-N Users'!E7</f>
        <v>36580.13375127397</v>
      </c>
      <c r="I12" s="59">
        <f>'A-N Users'!F7</f>
        <v>36325.536048677641</v>
      </c>
      <c r="J12" s="59">
        <f>'A-N Users'!G7</f>
        <v>36070.938346081319</v>
      </c>
      <c r="K12" s="59">
        <f>'A-N Users'!H7</f>
        <v>35816.340643484989</v>
      </c>
      <c r="L12" s="59">
        <f>'A-N Users'!I7</f>
        <v>35561.742940888667</v>
      </c>
      <c r="M12" s="59">
        <f>'A-N Users'!J7</f>
        <v>35307.145238292331</v>
      </c>
      <c r="N12" s="59">
        <f>'A-N Users'!K7</f>
        <v>35052.547535696009</v>
      </c>
      <c r="O12" s="59">
        <f>'A-N Users'!L7</f>
        <v>35569.516811194095</v>
      </c>
      <c r="P12" s="59">
        <f>'A-N Users'!M7</f>
        <v>36086.486086692181</v>
      </c>
      <c r="Q12" s="59">
        <f>'A-N Users'!N7</f>
        <v>36603.455362190267</v>
      </c>
      <c r="R12" s="59">
        <f>'A-N Users'!O7</f>
        <v>37120.42463768836</v>
      </c>
      <c r="S12" s="59">
        <f>'A-N Users'!P7</f>
        <v>37637.393913186439</v>
      </c>
      <c r="T12" s="59">
        <f>'A-N Users'!Q7</f>
        <v>38154.363188684525</v>
      </c>
      <c r="U12" s="59">
        <f>'A-N Users'!R7</f>
        <v>38671.332464182618</v>
      </c>
      <c r="V12" s="59">
        <f>'A-N Users'!S7</f>
        <v>39188.301739680697</v>
      </c>
      <c r="W12" s="59">
        <f>'A-N Users'!T7</f>
        <v>39705.271015178783</v>
      </c>
      <c r="X12" s="59">
        <f>'A-N Users'!U7</f>
        <v>40222.240290676877</v>
      </c>
      <c r="Y12" s="59">
        <f>'A-N Users'!V7</f>
        <v>40739.209566174963</v>
      </c>
      <c r="Z12" s="59">
        <f>'A-N Users'!W7</f>
        <v>41256.178841673056</v>
      </c>
      <c r="AA12" s="59">
        <f>'A-N Users'!X7</f>
        <v>41773.148117171128</v>
      </c>
      <c r="AB12" s="59">
        <f>'A-N Users'!Y7</f>
        <v>42290.117392669228</v>
      </c>
      <c r="AC12" s="284">
        <f>'A-N Users'!Z7</f>
        <v>42807.0866681673</v>
      </c>
      <c r="AD12" s="362">
        <f t="shared" si="0"/>
        <v>838538.91059960541</v>
      </c>
    </row>
    <row r="13" spans="1:33" s="53" customFormat="1" ht="12">
      <c r="A13" s="58"/>
      <c r="B13" s="70"/>
      <c r="D13" s="228"/>
      <c r="E13" s="235"/>
      <c r="AC13" s="283"/>
      <c r="AD13" s="362">
        <f t="shared" si="0"/>
        <v>0</v>
      </c>
    </row>
    <row r="14" spans="1:33" s="53" customFormat="1" ht="12">
      <c r="A14" s="58"/>
      <c r="B14" s="5" t="s">
        <v>277</v>
      </c>
      <c r="D14" s="228"/>
      <c r="E14" s="235"/>
      <c r="AC14" s="283"/>
      <c r="AD14" s="362">
        <f t="shared" si="0"/>
        <v>0</v>
      </c>
    </row>
    <row r="15" spans="1:33" s="53" customFormat="1" ht="12">
      <c r="A15" s="58"/>
      <c r="B15" s="70" t="s">
        <v>463</v>
      </c>
      <c r="C15" s="70" t="s">
        <v>366</v>
      </c>
      <c r="D15" s="228"/>
      <c r="E15" s="235"/>
      <c r="F15" s="59">
        <f>'A-N Users'!C10</f>
        <v>0</v>
      </c>
      <c r="G15" s="59">
        <f>'A-N Users'!D10</f>
        <v>0</v>
      </c>
      <c r="H15" s="59">
        <f>'A-N Users'!E10</f>
        <v>42712.657827653478</v>
      </c>
      <c r="I15" s="59">
        <f>'A-N Users'!F10</f>
        <v>42415.377762232034</v>
      </c>
      <c r="J15" s="59">
        <f>'A-N Users'!G10</f>
        <v>42118.097696810604</v>
      </c>
      <c r="K15" s="59">
        <f>'A-N Users'!H10</f>
        <v>41820.817631389167</v>
      </c>
      <c r="L15" s="59">
        <f>'A-N Users'!I10</f>
        <v>41523.537565967737</v>
      </c>
      <c r="M15" s="59">
        <f>'A-N Users'!J10</f>
        <v>41226.2575005463</v>
      </c>
      <c r="N15" s="59">
        <f>'A-N Users'!K10</f>
        <v>40928.977435124863</v>
      </c>
      <c r="O15" s="59">
        <f>'A-N Users'!L10</f>
        <v>41532.614696866447</v>
      </c>
      <c r="P15" s="59">
        <f>'A-N Users'!M10</f>
        <v>42136.251958608016</v>
      </c>
      <c r="Q15" s="59">
        <f>'A-N Users'!N10</f>
        <v>42739.8892203496</v>
      </c>
      <c r="R15" s="59">
        <f>'A-N Users'!O10</f>
        <v>43343.526482091176</v>
      </c>
      <c r="S15" s="59">
        <f>'A-N Users'!P10</f>
        <v>43947.163743832745</v>
      </c>
      <c r="T15" s="59">
        <f>'A-N Users'!Q10</f>
        <v>44550.801005574322</v>
      </c>
      <c r="U15" s="59">
        <f>'A-N Users'!R10</f>
        <v>45154.438267315905</v>
      </c>
      <c r="V15" s="59">
        <f>'A-N Users'!S10</f>
        <v>45758.075529057489</v>
      </c>
      <c r="W15" s="59">
        <f>'A-N Users'!T10</f>
        <v>46361.712790799065</v>
      </c>
      <c r="X15" s="59">
        <f>'A-N Users'!U10</f>
        <v>46965.350052540649</v>
      </c>
      <c r="Y15" s="59">
        <f>'A-N Users'!V10</f>
        <v>47568.987314282233</v>
      </c>
      <c r="Z15" s="59">
        <f>'A-N Users'!W10</f>
        <v>48172.624576023794</v>
      </c>
      <c r="AA15" s="59">
        <f>'A-N Users'!X10</f>
        <v>48776.261837765371</v>
      </c>
      <c r="AB15" s="59">
        <f>'A-N Users'!Y10</f>
        <v>49379.899099506954</v>
      </c>
      <c r="AC15" s="284">
        <f>'A-N Users'!Z10</f>
        <v>49983.536361248531</v>
      </c>
      <c r="AD15" s="362">
        <f t="shared" si="0"/>
        <v>979116.85635558644</v>
      </c>
      <c r="AG15" s="390"/>
    </row>
    <row r="16" spans="1:33" s="53" customFormat="1" ht="12">
      <c r="A16" s="58"/>
      <c r="B16" s="70" t="s">
        <v>462</v>
      </c>
      <c r="C16" s="54" t="s">
        <v>433</v>
      </c>
      <c r="D16" s="228"/>
      <c r="E16" s="235"/>
      <c r="F16" s="59">
        <f>'A-N Users'!C11</f>
        <v>0</v>
      </c>
      <c r="G16" s="59">
        <f>'A-N Users'!D11</f>
        <v>0</v>
      </c>
      <c r="H16" s="59">
        <f>'A-N Users'!E11</f>
        <v>1281.3797348296043</v>
      </c>
      <c r="I16" s="59">
        <f>'A-N Users'!F11</f>
        <v>1272.4613328669609</v>
      </c>
      <c r="J16" s="59">
        <f>'A-N Users'!G11</f>
        <v>1263.5429309043182</v>
      </c>
      <c r="K16" s="59">
        <f>'A-N Users'!H11</f>
        <v>1254.624528941675</v>
      </c>
      <c r="L16" s="59">
        <f>'A-N Users'!I11</f>
        <v>1245.706126979032</v>
      </c>
      <c r="M16" s="59">
        <f>'A-N Users'!J11</f>
        <v>1236.787725016389</v>
      </c>
      <c r="N16" s="59">
        <f>'A-N Users'!K11</f>
        <v>1227.8693230537458</v>
      </c>
      <c r="O16" s="59">
        <f>'A-N Users'!L11</f>
        <v>1245.9784409059935</v>
      </c>
      <c r="P16" s="59">
        <f>'A-N Users'!M11</f>
        <v>1264.0875587582404</v>
      </c>
      <c r="Q16" s="59">
        <f>'A-N Users'!N11</f>
        <v>1282.1966766104879</v>
      </c>
      <c r="R16" s="59">
        <f>'A-N Users'!O11</f>
        <v>1300.3057944627353</v>
      </c>
      <c r="S16" s="59">
        <f>'A-N Users'!P11</f>
        <v>1318.4149123149823</v>
      </c>
      <c r="T16" s="59">
        <f>'A-N Users'!Q11</f>
        <v>1336.5240301672295</v>
      </c>
      <c r="U16" s="59">
        <f>'A-N Users'!R11</f>
        <v>1354.6331480194772</v>
      </c>
      <c r="V16" s="59">
        <f>'A-N Users'!S11</f>
        <v>1372.7422658717246</v>
      </c>
      <c r="W16" s="59">
        <f>'A-N Users'!T11</f>
        <v>1390.8513837239718</v>
      </c>
      <c r="X16" s="59">
        <f>'A-N Users'!U11</f>
        <v>1408.9605015762195</v>
      </c>
      <c r="Y16" s="59">
        <f>'A-N Users'!V11</f>
        <v>1427.0696194284669</v>
      </c>
      <c r="Z16" s="59">
        <f>'A-N Users'!W11</f>
        <v>1445.1787372807137</v>
      </c>
      <c r="AA16" s="59">
        <f>'A-N Users'!X11</f>
        <v>1463.2878551329611</v>
      </c>
      <c r="AB16" s="59">
        <f>'A-N Users'!Y11</f>
        <v>1481.3969729852085</v>
      </c>
      <c r="AC16" s="284">
        <f>'A-N Users'!Z11</f>
        <v>1499.5060908374558</v>
      </c>
      <c r="AD16" s="362">
        <f t="shared" si="0"/>
        <v>29373.505690667596</v>
      </c>
      <c r="AG16" s="390"/>
    </row>
    <row r="17" spans="1:33" s="53" customFormat="1" ht="12">
      <c r="A17" s="58"/>
      <c r="B17" s="70"/>
      <c r="C17" s="78" t="s">
        <v>427</v>
      </c>
      <c r="D17" s="228"/>
      <c r="E17" s="235"/>
      <c r="F17" s="59">
        <f>'A-N Users'!C12</f>
        <v>0</v>
      </c>
      <c r="G17" s="59">
        <f>'A-N Users'!D12</f>
        <v>0</v>
      </c>
      <c r="H17" s="59">
        <f>'A-N Users'!E12</f>
        <v>1281.3797348296043</v>
      </c>
      <c r="I17" s="59">
        <f>'A-N Users'!F12</f>
        <v>1272.4613328669609</v>
      </c>
      <c r="J17" s="59">
        <f>'A-N Users'!G12</f>
        <v>1263.5429309043182</v>
      </c>
      <c r="K17" s="59">
        <f>'A-N Users'!H12</f>
        <v>1254.624528941675</v>
      </c>
      <c r="L17" s="59">
        <f>'A-N Users'!I12</f>
        <v>1245.706126979032</v>
      </c>
      <c r="M17" s="59">
        <f>'A-N Users'!J12</f>
        <v>1236.787725016389</v>
      </c>
      <c r="N17" s="59">
        <f>'A-N Users'!K12</f>
        <v>1227.8693230537458</v>
      </c>
      <c r="O17" s="59">
        <f>'A-N Users'!L12</f>
        <v>1245.9784409059935</v>
      </c>
      <c r="P17" s="59">
        <f>'A-N Users'!M12</f>
        <v>1264.0875587582404</v>
      </c>
      <c r="Q17" s="59">
        <f>'A-N Users'!N12</f>
        <v>1282.1966766104879</v>
      </c>
      <c r="R17" s="59">
        <f>'A-N Users'!O12</f>
        <v>1300.3057944627353</v>
      </c>
      <c r="S17" s="59">
        <f>'A-N Users'!P12</f>
        <v>1318.4149123149823</v>
      </c>
      <c r="T17" s="59">
        <f>'A-N Users'!Q12</f>
        <v>1336.5240301672295</v>
      </c>
      <c r="U17" s="59">
        <f>'A-N Users'!R12</f>
        <v>1354.6331480194772</v>
      </c>
      <c r="V17" s="59">
        <f>'A-N Users'!S12</f>
        <v>1372.7422658717246</v>
      </c>
      <c r="W17" s="59">
        <f>'A-N Users'!T12</f>
        <v>1390.8513837239718</v>
      </c>
      <c r="X17" s="59">
        <f>'A-N Users'!U12</f>
        <v>1408.9605015762195</v>
      </c>
      <c r="Y17" s="59">
        <f>'A-N Users'!V12</f>
        <v>1427.0696194284669</v>
      </c>
      <c r="Z17" s="59">
        <f>'A-N Users'!W12</f>
        <v>1445.1787372807137</v>
      </c>
      <c r="AA17" s="59">
        <f>'A-N Users'!X12</f>
        <v>1463.2878551329611</v>
      </c>
      <c r="AB17" s="59">
        <f>'A-N Users'!Y12</f>
        <v>1481.3969729852085</v>
      </c>
      <c r="AC17" s="284">
        <f>'A-N Users'!Z12</f>
        <v>1499.5060908374558</v>
      </c>
      <c r="AD17" s="362">
        <f t="shared" si="0"/>
        <v>29373.505690667596</v>
      </c>
      <c r="AG17" s="70" t="s">
        <v>570</v>
      </c>
    </row>
    <row r="18" spans="1:33" s="53" customFormat="1" ht="12">
      <c r="A18" s="58"/>
      <c r="B18" s="70"/>
      <c r="C18" s="48"/>
      <c r="D18" s="228"/>
      <c r="E18" s="235"/>
      <c r="AC18" s="283"/>
      <c r="AD18" s="362">
        <f t="shared" si="0"/>
        <v>0</v>
      </c>
      <c r="AG18" s="391">
        <f>AD54+AD66+AD73</f>
        <v>188335.24293354154</v>
      </c>
    </row>
    <row r="19" spans="1:33" s="53" customFormat="1" ht="12">
      <c r="A19" s="58"/>
      <c r="B19" s="5" t="s">
        <v>413</v>
      </c>
      <c r="D19" s="228"/>
      <c r="E19" s="235"/>
      <c r="AC19" s="283"/>
      <c r="AD19" s="362">
        <f t="shared" si="0"/>
        <v>0</v>
      </c>
      <c r="AG19" s="308">
        <f>AD93+AD100</f>
        <v>112432.32265409565</v>
      </c>
    </row>
    <row r="20" spans="1:33" s="53" customFormat="1" ht="12">
      <c r="A20" s="58"/>
      <c r="B20" s="70" t="s">
        <v>463</v>
      </c>
      <c r="C20" s="47" t="s">
        <v>95</v>
      </c>
      <c r="D20" s="228"/>
      <c r="E20" s="235"/>
      <c r="F20" s="53">
        <f>'A-N Users'!C15</f>
        <v>0</v>
      </c>
      <c r="G20" s="105">
        <f>'A-N Users'!D15</f>
        <v>18250</v>
      </c>
      <c r="H20" s="105">
        <f>'A-N Users'!E15</f>
        <v>18432.5</v>
      </c>
      <c r="I20" s="105">
        <f>'A-N Users'!F15</f>
        <v>18616.825000000001</v>
      </c>
      <c r="J20" s="105">
        <f>'A-N Users'!G15</f>
        <v>18802.993250000003</v>
      </c>
      <c r="K20" s="105">
        <f>'A-N Users'!H15</f>
        <v>18991.023182500001</v>
      </c>
      <c r="L20" s="105">
        <f>'A-N Users'!I15</f>
        <v>19180.933414324998</v>
      </c>
      <c r="M20" s="105">
        <f>'A-N Users'!J15</f>
        <v>19372.742748468252</v>
      </c>
      <c r="N20" s="105">
        <f>'A-N Users'!K15</f>
        <v>19566.470175952938</v>
      </c>
      <c r="O20" s="105">
        <f>'A-N Users'!L15</f>
        <v>19762.134877712466</v>
      </c>
      <c r="P20" s="105">
        <f>'A-N Users'!M15</f>
        <v>19959.75622648959</v>
      </c>
      <c r="Q20" s="105">
        <f>'A-N Users'!N15</f>
        <v>20159.353788754484</v>
      </c>
      <c r="R20" s="105">
        <f>'A-N Users'!O15</f>
        <v>20360.947326642028</v>
      </c>
      <c r="S20" s="105">
        <f>'A-N Users'!P15</f>
        <v>20564.556799908452</v>
      </c>
      <c r="T20" s="105">
        <f>'A-N Users'!Q15</f>
        <v>20770.202367907536</v>
      </c>
      <c r="U20" s="105">
        <f>'A-N Users'!R15</f>
        <v>20977.90439158661</v>
      </c>
      <c r="V20" s="105">
        <f>'A-N Users'!S15</f>
        <v>21187.683435502477</v>
      </c>
      <c r="W20" s="105">
        <f>'A-N Users'!T15</f>
        <v>21399.560269857502</v>
      </c>
      <c r="X20" s="105">
        <f>'A-N Users'!U15</f>
        <v>21613.555872556077</v>
      </c>
      <c r="Y20" s="105">
        <f>'A-N Users'!V15</f>
        <v>21829.691431281637</v>
      </c>
      <c r="Z20" s="105">
        <f>'A-N Users'!W15</f>
        <v>22047.988345594455</v>
      </c>
      <c r="AA20" s="105">
        <f>'A-N Users'!X15</f>
        <v>22268.468229050399</v>
      </c>
      <c r="AB20" s="105">
        <f>'A-N Users'!Y15</f>
        <v>22491.152911340905</v>
      </c>
      <c r="AC20" s="287">
        <f>'A-N Users'!Z15</f>
        <v>22716.064440454316</v>
      </c>
      <c r="AD20" s="362">
        <f t="shared" si="0"/>
        <v>469322.50848588505</v>
      </c>
      <c r="AG20" s="308">
        <f>AD127+AD140</f>
        <v>8953469.9889669549</v>
      </c>
    </row>
    <row r="21" spans="1:33" s="53" customFormat="1" ht="12">
      <c r="A21" s="58"/>
      <c r="B21" s="70"/>
      <c r="C21" s="78" t="s">
        <v>510</v>
      </c>
      <c r="D21" s="228"/>
      <c r="E21" s="235"/>
      <c r="F21" s="53">
        <f>'A-N Users'!C16</f>
        <v>0</v>
      </c>
      <c r="G21" s="105">
        <f>'A-N Users'!D16</f>
        <v>27375</v>
      </c>
      <c r="H21" s="105">
        <f>'A-N Users'!E16</f>
        <v>27648.75</v>
      </c>
      <c r="I21" s="105">
        <f>'A-N Users'!F16</f>
        <v>27925.237499999999</v>
      </c>
      <c r="J21" s="105">
        <f>'A-N Users'!G16</f>
        <v>28204.489875000003</v>
      </c>
      <c r="K21" s="105">
        <f>'A-N Users'!H16</f>
        <v>28486.534773749998</v>
      </c>
      <c r="L21" s="105">
        <f>'A-N Users'!I16</f>
        <v>28771.400121487499</v>
      </c>
      <c r="M21" s="105">
        <f>'A-N Users'!J16</f>
        <v>29059.11412270238</v>
      </c>
      <c r="N21" s="105">
        <f>'A-N Users'!K16</f>
        <v>29349.705263929402</v>
      </c>
      <c r="O21" s="105">
        <f>'A-N Users'!L16</f>
        <v>29643.202316568691</v>
      </c>
      <c r="P21" s="105">
        <f>'A-N Users'!M16</f>
        <v>29939.634339734381</v>
      </c>
      <c r="Q21" s="105">
        <f>'A-N Users'!N16</f>
        <v>30239.030683131725</v>
      </c>
      <c r="R21" s="105">
        <f>'A-N Users'!O16</f>
        <v>30541.42098996304</v>
      </c>
      <c r="S21" s="105">
        <f>'A-N Users'!P16</f>
        <v>30846.835199862675</v>
      </c>
      <c r="T21" s="105">
        <f>'A-N Users'!Q16</f>
        <v>31155.303551861296</v>
      </c>
      <c r="U21" s="105">
        <f>'A-N Users'!R16</f>
        <v>31466.856587379913</v>
      </c>
      <c r="V21" s="105">
        <f>'A-N Users'!S16</f>
        <v>31781.525153253715</v>
      </c>
      <c r="W21" s="105">
        <f>'A-N Users'!T16</f>
        <v>32099.34040478625</v>
      </c>
      <c r="X21" s="105">
        <f>'A-N Users'!U16</f>
        <v>32420.333808834112</v>
      </c>
      <c r="Y21" s="105">
        <f>'A-N Users'!V16</f>
        <v>32744.537146922448</v>
      </c>
      <c r="Z21" s="105">
        <f>'A-N Users'!W16</f>
        <v>33071.982518391676</v>
      </c>
      <c r="AA21" s="105">
        <f>'A-N Users'!X16</f>
        <v>33402.702343575598</v>
      </c>
      <c r="AB21" s="105">
        <f>'A-N Users'!Y16</f>
        <v>33736.729367011358</v>
      </c>
      <c r="AC21" s="287">
        <f>'A-N Users'!Z16</f>
        <v>34074.096660681469</v>
      </c>
      <c r="AD21" s="362">
        <f t="shared" si="0"/>
        <v>703983.76272882754</v>
      </c>
      <c r="AG21" s="308">
        <f>AD93+AD99</f>
        <v>112432.32265409565</v>
      </c>
    </row>
    <row r="22" spans="1:33" s="53" customFormat="1" ht="12">
      <c r="A22" s="58"/>
      <c r="B22" s="70"/>
      <c r="C22" s="47" t="s">
        <v>148</v>
      </c>
      <c r="D22" s="228"/>
      <c r="E22" s="235"/>
      <c r="F22" s="53">
        <f>'A-N Users'!C17</f>
        <v>0</v>
      </c>
      <c r="G22" s="105">
        <f>'A-N Users'!D17</f>
        <v>27375</v>
      </c>
      <c r="H22" s="105">
        <f>'A-N Users'!E17</f>
        <v>27648.75</v>
      </c>
      <c r="I22" s="105">
        <f>'A-N Users'!F17</f>
        <v>27925.237499999999</v>
      </c>
      <c r="J22" s="105">
        <f>'A-N Users'!G17</f>
        <v>28204.489875000003</v>
      </c>
      <c r="K22" s="105">
        <f>'A-N Users'!H17</f>
        <v>28486.534773749998</v>
      </c>
      <c r="L22" s="105">
        <f>'A-N Users'!I17</f>
        <v>28771.400121487499</v>
      </c>
      <c r="M22" s="105">
        <f>'A-N Users'!J17</f>
        <v>29059.11412270238</v>
      </c>
      <c r="N22" s="105">
        <f>'A-N Users'!K17</f>
        <v>29349.705263929402</v>
      </c>
      <c r="O22" s="105">
        <f>'A-N Users'!L17</f>
        <v>29643.202316568691</v>
      </c>
      <c r="P22" s="105">
        <f>'A-N Users'!M17</f>
        <v>29939.634339734381</v>
      </c>
      <c r="Q22" s="105">
        <f>'A-N Users'!N17</f>
        <v>30239.030683131725</v>
      </c>
      <c r="R22" s="105">
        <f>'A-N Users'!O17</f>
        <v>30541.42098996304</v>
      </c>
      <c r="S22" s="105">
        <f>'A-N Users'!P17</f>
        <v>30846.835199862675</v>
      </c>
      <c r="T22" s="105">
        <f>'A-N Users'!Q17</f>
        <v>31155.303551861296</v>
      </c>
      <c r="U22" s="105">
        <f>'A-N Users'!R17</f>
        <v>31466.856587379913</v>
      </c>
      <c r="V22" s="105">
        <f>'A-N Users'!S17</f>
        <v>31781.525153253715</v>
      </c>
      <c r="W22" s="105">
        <f>'A-N Users'!T17</f>
        <v>32099.34040478625</v>
      </c>
      <c r="X22" s="105">
        <f>'A-N Users'!U17</f>
        <v>32420.333808834112</v>
      </c>
      <c r="Y22" s="105">
        <f>'A-N Users'!V17</f>
        <v>32744.537146922448</v>
      </c>
      <c r="Z22" s="105">
        <f>'A-N Users'!W17</f>
        <v>33071.982518391676</v>
      </c>
      <c r="AA22" s="105">
        <f>'A-N Users'!X17</f>
        <v>33402.702343575598</v>
      </c>
      <c r="AB22" s="105">
        <f>'A-N Users'!Y17</f>
        <v>33736.729367011358</v>
      </c>
      <c r="AC22" s="287">
        <f>'A-N Users'!Z17</f>
        <v>34074.096660681469</v>
      </c>
      <c r="AD22" s="362">
        <f t="shared" si="0"/>
        <v>703983.76272882754</v>
      </c>
      <c r="AG22" s="308">
        <f>AD170</f>
        <v>9284845.7816951852</v>
      </c>
    </row>
    <row r="23" spans="1:33" s="53" customFormat="1" ht="12">
      <c r="A23" s="58"/>
      <c r="B23" s="70"/>
      <c r="C23" s="78" t="s">
        <v>437</v>
      </c>
      <c r="D23" s="228"/>
      <c r="E23" s="235"/>
      <c r="F23" s="53">
        <f>'A-N Users'!C18</f>
        <v>0</v>
      </c>
      <c r="G23" s="105">
        <f>'A-N Users'!D18</f>
        <v>18250</v>
      </c>
      <c r="H23" s="105">
        <f>'A-N Users'!E18</f>
        <v>18432.5</v>
      </c>
      <c r="I23" s="105">
        <f>'A-N Users'!F18</f>
        <v>18616.825000000001</v>
      </c>
      <c r="J23" s="105">
        <f>'A-N Users'!G18</f>
        <v>18802.993250000003</v>
      </c>
      <c r="K23" s="105">
        <f>'A-N Users'!H18</f>
        <v>18991.023182500001</v>
      </c>
      <c r="L23" s="105">
        <f>'A-N Users'!I18</f>
        <v>19180.933414324998</v>
      </c>
      <c r="M23" s="105">
        <f>'A-N Users'!J18</f>
        <v>19372.742748468252</v>
      </c>
      <c r="N23" s="105">
        <f>'A-N Users'!K18</f>
        <v>19566.470175952938</v>
      </c>
      <c r="O23" s="105">
        <f>'A-N Users'!L18</f>
        <v>19762.134877712466</v>
      </c>
      <c r="P23" s="105">
        <f>'A-N Users'!M18</f>
        <v>19959.75622648959</v>
      </c>
      <c r="Q23" s="105">
        <f>'A-N Users'!N18</f>
        <v>20159.353788754484</v>
      </c>
      <c r="R23" s="105">
        <f>'A-N Users'!O18</f>
        <v>20360.947326642028</v>
      </c>
      <c r="S23" s="105">
        <f>'A-N Users'!P18</f>
        <v>20564.556799908452</v>
      </c>
      <c r="T23" s="105">
        <f>'A-N Users'!Q18</f>
        <v>20770.202367907536</v>
      </c>
      <c r="U23" s="105">
        <f>'A-N Users'!R18</f>
        <v>20977.90439158661</v>
      </c>
      <c r="V23" s="105">
        <f>'A-N Users'!S18</f>
        <v>21187.683435502477</v>
      </c>
      <c r="W23" s="105">
        <f>'A-N Users'!T18</f>
        <v>21399.560269857502</v>
      </c>
      <c r="X23" s="105">
        <f>'A-N Users'!U18</f>
        <v>21613.555872556077</v>
      </c>
      <c r="Y23" s="105">
        <f>'A-N Users'!V18</f>
        <v>21829.691431281637</v>
      </c>
      <c r="Z23" s="105">
        <f>'A-N Users'!W18</f>
        <v>22047.988345594455</v>
      </c>
      <c r="AA23" s="105">
        <f>'A-N Users'!X18</f>
        <v>22268.468229050399</v>
      </c>
      <c r="AB23" s="105">
        <f>'A-N Users'!Y18</f>
        <v>22491.152911340905</v>
      </c>
      <c r="AC23" s="287">
        <f>'A-N Users'!Z18</f>
        <v>22716.064440454316</v>
      </c>
      <c r="AD23" s="362">
        <f t="shared" si="0"/>
        <v>469322.50848588505</v>
      </c>
      <c r="AG23" s="390">
        <f>AD183</f>
        <v>2721002.3633096213</v>
      </c>
    </row>
    <row r="24" spans="1:33" s="53" customFormat="1" ht="12">
      <c r="A24" s="58"/>
      <c r="B24" s="70"/>
      <c r="C24" s="47" t="s">
        <v>152</v>
      </c>
      <c r="D24" s="228"/>
      <c r="E24" s="235"/>
      <c r="F24" s="53">
        <f>'A-N Users'!C19</f>
        <v>0</v>
      </c>
      <c r="G24" s="105">
        <f>'A-N Users'!D19</f>
        <v>18250</v>
      </c>
      <c r="H24" s="105">
        <f>'A-N Users'!E19</f>
        <v>18432.5</v>
      </c>
      <c r="I24" s="105">
        <f>'A-N Users'!F19</f>
        <v>18616.825000000001</v>
      </c>
      <c r="J24" s="105">
        <f>'A-N Users'!G19</f>
        <v>18802.993250000003</v>
      </c>
      <c r="K24" s="105">
        <f>'A-N Users'!H19</f>
        <v>18991.023182500001</v>
      </c>
      <c r="L24" s="105">
        <f>'A-N Users'!I19</f>
        <v>19180.933414324998</v>
      </c>
      <c r="M24" s="105">
        <f>'A-N Users'!J19</f>
        <v>19372.742748468252</v>
      </c>
      <c r="N24" s="105">
        <f>'A-N Users'!K19</f>
        <v>19566.470175952938</v>
      </c>
      <c r="O24" s="105">
        <f>'A-N Users'!L19</f>
        <v>19762.134877712466</v>
      </c>
      <c r="P24" s="105">
        <f>'A-N Users'!M19</f>
        <v>19959.75622648959</v>
      </c>
      <c r="Q24" s="105">
        <f>'A-N Users'!N19</f>
        <v>20159.353788754484</v>
      </c>
      <c r="R24" s="105">
        <f>'A-N Users'!O19</f>
        <v>20360.947326642028</v>
      </c>
      <c r="S24" s="105">
        <f>'A-N Users'!P19</f>
        <v>20564.556799908452</v>
      </c>
      <c r="T24" s="105">
        <f>'A-N Users'!Q19</f>
        <v>20770.202367907536</v>
      </c>
      <c r="U24" s="105">
        <f>'A-N Users'!R19</f>
        <v>20977.90439158661</v>
      </c>
      <c r="V24" s="105">
        <f>'A-N Users'!S19</f>
        <v>21187.683435502477</v>
      </c>
      <c r="W24" s="105">
        <f>'A-N Users'!T19</f>
        <v>21399.560269857502</v>
      </c>
      <c r="X24" s="105">
        <f>'A-N Users'!U19</f>
        <v>21613.555872556077</v>
      </c>
      <c r="Y24" s="105">
        <f>'A-N Users'!V19</f>
        <v>21829.691431281637</v>
      </c>
      <c r="Z24" s="105">
        <f>'A-N Users'!W19</f>
        <v>22047.988345594455</v>
      </c>
      <c r="AA24" s="105">
        <f>'A-N Users'!X19</f>
        <v>22268.468229050399</v>
      </c>
      <c r="AB24" s="105">
        <f>'A-N Users'!Y19</f>
        <v>22491.152911340905</v>
      </c>
      <c r="AC24" s="287">
        <f>'A-N Users'!Z19</f>
        <v>22716.064440454316</v>
      </c>
      <c r="AD24" s="362">
        <f t="shared" si="0"/>
        <v>469322.50848588505</v>
      </c>
      <c r="AG24" s="392">
        <f>AD186</f>
        <v>1946199.3060869733</v>
      </c>
    </row>
    <row r="25" spans="1:33" s="53" customFormat="1" ht="12">
      <c r="A25" s="58"/>
      <c r="B25" s="70" t="s">
        <v>462</v>
      </c>
      <c r="C25" s="78" t="s">
        <v>442</v>
      </c>
      <c r="D25" s="228"/>
      <c r="E25" s="235"/>
      <c r="F25" s="53">
        <f>'A-N Users'!C20</f>
        <v>0</v>
      </c>
      <c r="G25" s="105">
        <f>'A-N Users'!D20</f>
        <v>36500</v>
      </c>
      <c r="H25" s="105">
        <f>'A-N Users'!E20</f>
        <v>36865</v>
      </c>
      <c r="I25" s="105">
        <f>'A-N Users'!F20</f>
        <v>37233.65</v>
      </c>
      <c r="J25" s="105">
        <f>'A-N Users'!G20</f>
        <v>37605.986500000006</v>
      </c>
      <c r="K25" s="105">
        <f>'A-N Users'!H20</f>
        <v>37982.046365000002</v>
      </c>
      <c r="L25" s="105">
        <f>'A-N Users'!I20</f>
        <v>38361.866828649996</v>
      </c>
      <c r="M25" s="105">
        <f>'A-N Users'!J20</f>
        <v>38745.485496936504</v>
      </c>
      <c r="N25" s="105">
        <f>'A-N Users'!K20</f>
        <v>39132.940351905876</v>
      </c>
      <c r="O25" s="105">
        <f>'A-N Users'!L20</f>
        <v>39524.269755424932</v>
      </c>
      <c r="P25" s="105">
        <f>'A-N Users'!M20</f>
        <v>39919.512452979179</v>
      </c>
      <c r="Q25" s="105">
        <f>'A-N Users'!N20</f>
        <v>40318.707577508969</v>
      </c>
      <c r="R25" s="105">
        <f>'A-N Users'!O20</f>
        <v>40721.894653284056</v>
      </c>
      <c r="S25" s="105">
        <f>'A-N Users'!P20</f>
        <v>41129.113599816905</v>
      </c>
      <c r="T25" s="105">
        <f>'A-N Users'!Q20</f>
        <v>41540.404735815071</v>
      </c>
      <c r="U25" s="105">
        <f>'A-N Users'!R20</f>
        <v>41955.808783173219</v>
      </c>
      <c r="V25" s="105">
        <f>'A-N Users'!S20</f>
        <v>42375.366871004953</v>
      </c>
      <c r="W25" s="105">
        <f>'A-N Users'!T20</f>
        <v>42799.120539715004</v>
      </c>
      <c r="X25" s="105">
        <f>'A-N Users'!U20</f>
        <v>43227.111745112154</v>
      </c>
      <c r="Y25" s="105">
        <f>'A-N Users'!V20</f>
        <v>43659.382862563274</v>
      </c>
      <c r="Z25" s="105">
        <f>'A-N Users'!W20</f>
        <v>44095.976691188909</v>
      </c>
      <c r="AA25" s="105">
        <f>'A-N Users'!X20</f>
        <v>44536.936458100798</v>
      </c>
      <c r="AB25" s="105">
        <f>'A-N Users'!Y20</f>
        <v>44982.30582268181</v>
      </c>
      <c r="AC25" s="287">
        <f>'A-N Users'!Z20</f>
        <v>45432.128880908633</v>
      </c>
      <c r="AD25" s="362">
        <f t="shared" si="0"/>
        <v>938645.01697177009</v>
      </c>
      <c r="AG25" s="392">
        <f>AD201</f>
        <v>821013.85027016327</v>
      </c>
    </row>
    <row r="26" spans="1:33" s="53" customFormat="1" ht="12">
      <c r="A26" s="58"/>
      <c r="B26" s="70"/>
      <c r="C26" s="78" t="s">
        <v>473</v>
      </c>
      <c r="D26" s="228"/>
      <c r="E26" s="235"/>
      <c r="F26" s="53">
        <f>'A-N Users'!C21</f>
        <v>0</v>
      </c>
      <c r="G26" s="105">
        <f>'A-N Users'!D21</f>
        <v>36500</v>
      </c>
      <c r="H26" s="105">
        <f>'A-N Users'!E21</f>
        <v>36865</v>
      </c>
      <c r="I26" s="105">
        <f>'A-N Users'!F21</f>
        <v>37233.65</v>
      </c>
      <c r="J26" s="105">
        <f>'A-N Users'!G21</f>
        <v>37605.986500000006</v>
      </c>
      <c r="K26" s="105">
        <f>'A-N Users'!H21</f>
        <v>37982.046365000002</v>
      </c>
      <c r="L26" s="105">
        <f>'A-N Users'!I21</f>
        <v>38361.866828649996</v>
      </c>
      <c r="M26" s="105">
        <f>'A-N Users'!J21</f>
        <v>38745.485496936504</v>
      </c>
      <c r="N26" s="105">
        <f>'A-N Users'!K21</f>
        <v>39132.940351905876</v>
      </c>
      <c r="O26" s="105">
        <f>'A-N Users'!L21</f>
        <v>39524.269755424932</v>
      </c>
      <c r="P26" s="105">
        <f>'A-N Users'!M21</f>
        <v>39919.512452979179</v>
      </c>
      <c r="Q26" s="105">
        <f>'A-N Users'!N21</f>
        <v>40318.707577508969</v>
      </c>
      <c r="R26" s="105">
        <f>'A-N Users'!O21</f>
        <v>40721.894653284056</v>
      </c>
      <c r="S26" s="105">
        <f>'A-N Users'!P21</f>
        <v>41129.113599816905</v>
      </c>
      <c r="T26" s="105">
        <f>'A-N Users'!Q21</f>
        <v>41540.404735815071</v>
      </c>
      <c r="U26" s="105">
        <f>'A-N Users'!R21</f>
        <v>41955.808783173219</v>
      </c>
      <c r="V26" s="105">
        <f>'A-N Users'!S21</f>
        <v>42375.366871004953</v>
      </c>
      <c r="W26" s="105">
        <f>'A-N Users'!T21</f>
        <v>42799.120539715004</v>
      </c>
      <c r="X26" s="105">
        <f>'A-N Users'!U21</f>
        <v>43227.111745112154</v>
      </c>
      <c r="Y26" s="105">
        <f>'A-N Users'!V21</f>
        <v>43659.382862563274</v>
      </c>
      <c r="Z26" s="105">
        <f>'A-N Users'!W21</f>
        <v>44095.976691188909</v>
      </c>
      <c r="AA26" s="105">
        <f>'A-N Users'!X21</f>
        <v>44536.936458100798</v>
      </c>
      <c r="AB26" s="105">
        <f>'A-N Users'!Y21</f>
        <v>44982.30582268181</v>
      </c>
      <c r="AC26" s="287">
        <f>'A-N Users'!Z21</f>
        <v>45432.128880908633</v>
      </c>
      <c r="AD26" s="362">
        <f t="shared" si="0"/>
        <v>938645.01697177009</v>
      </c>
      <c r="AG26" s="392">
        <f>AD206</f>
        <v>38945.636163572519</v>
      </c>
    </row>
    <row r="27" spans="1:33" s="53" customFormat="1" ht="12">
      <c r="A27" s="58"/>
      <c r="B27" s="70"/>
      <c r="C27" s="78"/>
      <c r="D27" s="228"/>
      <c r="E27" s="235"/>
      <c r="AC27" s="283"/>
      <c r="AD27" s="361">
        <f t="shared" si="0"/>
        <v>0</v>
      </c>
      <c r="AG27" s="392">
        <f>AD244</f>
        <v>17844519.512824234</v>
      </c>
    </row>
    <row r="28" spans="1:33" s="53" customFormat="1" ht="12">
      <c r="A28" s="58"/>
      <c r="B28" s="70"/>
      <c r="C28" s="58" t="s">
        <v>436</v>
      </c>
      <c r="D28" s="228"/>
      <c r="E28" s="235"/>
      <c r="AC28" s="283"/>
      <c r="AD28" s="361">
        <f t="shared" si="0"/>
        <v>0</v>
      </c>
      <c r="AG28" s="308">
        <f>+AD127+AD140+AD162+AD228+AD226</f>
        <v>1450919.0691404296</v>
      </c>
    </row>
    <row r="29" spans="1:33" s="53" customFormat="1" ht="12">
      <c r="A29" s="58"/>
      <c r="B29" s="70"/>
      <c r="C29" s="78" t="s">
        <v>505</v>
      </c>
      <c r="D29" s="228"/>
      <c r="E29" s="235"/>
      <c r="F29" s="299">
        <f>'A-N Users'!C31</f>
        <v>0</v>
      </c>
      <c r="G29" s="299">
        <f>'A-N Users'!D31</f>
        <v>73000</v>
      </c>
      <c r="H29" s="299">
        <f>'A-N Users'!E31</f>
        <v>149453.02697220715</v>
      </c>
      <c r="I29" s="299">
        <f>'A-N Users'!F31</f>
        <v>149663.29476308922</v>
      </c>
      <c r="J29" s="299">
        <f>'A-N Users'!G31</f>
        <v>149880.9355539713</v>
      </c>
      <c r="K29" s="299">
        <f>'A-N Users'!H31</f>
        <v>150106.02307485332</v>
      </c>
      <c r="L29" s="299">
        <f>'A-N Users'!I31</f>
        <v>150338.6317930354</v>
      </c>
      <c r="M29" s="299">
        <f>'A-N Users'!J31</f>
        <v>150578.83692049046</v>
      </c>
      <c r="N29" s="299">
        <f>'A-N Users'!K31</f>
        <v>150826.71442131128</v>
      </c>
      <c r="O29" s="299">
        <f>'A-N Users'!L31</f>
        <v>152679.53001505003</v>
      </c>
      <c r="P29" s="299">
        <f>'A-N Users'!M31</f>
        <v>154540.1721968592</v>
      </c>
      <c r="Q29" s="299">
        <f>'A-N Users'!N31</f>
        <v>156408.71923261945</v>
      </c>
      <c r="R29" s="299">
        <f>'A-N Users'!O31</f>
        <v>158285.25017087031</v>
      </c>
      <c r="S29" s="299">
        <f>'A-N Users'!P31</f>
        <v>160169.84485063667</v>
      </c>
      <c r="T29" s="299">
        <f>'A-N Users'!Q31</f>
        <v>162062.58390933365</v>
      </c>
      <c r="U29" s="299">
        <f>'A-N Users'!R31</f>
        <v>163963.54879075062</v>
      </c>
      <c r="V29" s="299">
        <f>'A-N Users'!S31</f>
        <v>165872.82175311475</v>
      </c>
      <c r="W29" s="299">
        <f>'A-N Users'!T31</f>
        <v>167790.48587723554</v>
      </c>
      <c r="X29" s="299">
        <f>'A-N Users'!U31</f>
        <v>169716.62507473049</v>
      </c>
      <c r="Y29" s="299">
        <f>'A-N Users'!V31</f>
        <v>171651.32409633341</v>
      </c>
      <c r="Z29" s="299">
        <f>'A-N Users'!W31</f>
        <v>173594.66854028535</v>
      </c>
      <c r="AA29" s="299">
        <f>'A-N Users'!X31</f>
        <v>175546.74486080976</v>
      </c>
      <c r="AB29" s="299">
        <f>'A-N Users'!Y31</f>
        <v>177507.6403766725</v>
      </c>
      <c r="AC29" s="408">
        <f>'A-N Users'!Z31</f>
        <v>179477.44327982678</v>
      </c>
      <c r="AD29" s="364">
        <f t="shared" si="0"/>
        <v>3613114.8665240863</v>
      </c>
    </row>
    <row r="30" spans="1:33" s="53" customFormat="1" ht="12">
      <c r="A30" s="58"/>
      <c r="B30" s="70"/>
      <c r="C30" s="78" t="s">
        <v>506</v>
      </c>
      <c r="D30" s="228"/>
      <c r="E30" s="235"/>
      <c r="F30" s="299">
        <f>'A-N Users'!C32</f>
        <v>0</v>
      </c>
      <c r="G30" s="299">
        <f>'A-N Users'!D32</f>
        <v>-27375</v>
      </c>
      <c r="H30" s="299">
        <f>'A-N Users'!E32</f>
        <v>-27648.75</v>
      </c>
      <c r="I30" s="299">
        <f>'A-N Users'!F32</f>
        <v>-27925.237499999999</v>
      </c>
      <c r="J30" s="299">
        <f>'A-N Users'!G32</f>
        <v>-28204.489875000003</v>
      </c>
      <c r="K30" s="299">
        <f>'A-N Users'!H32</f>
        <v>-28486.534773749998</v>
      </c>
      <c r="L30" s="299">
        <f>'A-N Users'!I32</f>
        <v>-28771.400121487499</v>
      </c>
      <c r="M30" s="299">
        <f>'A-N Users'!J32</f>
        <v>-29059.11412270238</v>
      </c>
      <c r="N30" s="299">
        <f>'A-N Users'!K32</f>
        <v>-29349.705263929402</v>
      </c>
      <c r="O30" s="299">
        <f>'A-N Users'!L32</f>
        <v>-29643.202316568691</v>
      </c>
      <c r="P30" s="299">
        <f>'A-N Users'!M32</f>
        <v>-29939.634339734381</v>
      </c>
      <c r="Q30" s="299">
        <f>'A-N Users'!N32</f>
        <v>-30239.030683131725</v>
      </c>
      <c r="R30" s="299">
        <f>'A-N Users'!O32</f>
        <v>-30541.42098996304</v>
      </c>
      <c r="S30" s="299">
        <f>'A-N Users'!P32</f>
        <v>-30846.835199862675</v>
      </c>
      <c r="T30" s="299">
        <f>'A-N Users'!Q32</f>
        <v>-31155.303551861296</v>
      </c>
      <c r="U30" s="299">
        <f>'A-N Users'!R32</f>
        <v>-31466.856587379913</v>
      </c>
      <c r="V30" s="299">
        <f>'A-N Users'!S32</f>
        <v>-31781.525153253715</v>
      </c>
      <c r="W30" s="299">
        <f>'A-N Users'!T32</f>
        <v>-32099.34040478625</v>
      </c>
      <c r="X30" s="299">
        <f>'A-N Users'!U32</f>
        <v>-32420.333808834112</v>
      </c>
      <c r="Y30" s="299">
        <f>'A-N Users'!V32</f>
        <v>-32744.537146922448</v>
      </c>
      <c r="Z30" s="299">
        <f>'A-N Users'!W32</f>
        <v>-33071.982518391676</v>
      </c>
      <c r="AA30" s="299">
        <f>'A-N Users'!X32</f>
        <v>-33402.702343575598</v>
      </c>
      <c r="AB30" s="299">
        <f>'A-N Users'!Y32</f>
        <v>-33736.729367011358</v>
      </c>
      <c r="AC30" s="408">
        <f>'A-N Users'!Z32</f>
        <v>-34074.096660681469</v>
      </c>
      <c r="AD30" s="364">
        <f t="shared" si="0"/>
        <v>-703983.76272882754</v>
      </c>
    </row>
    <row r="31" spans="1:33" s="53" customFormat="1" ht="12">
      <c r="A31" s="58"/>
      <c r="B31" s="70"/>
      <c r="C31" s="78" t="s">
        <v>507</v>
      </c>
      <c r="D31" s="228"/>
      <c r="E31" s="235"/>
      <c r="F31" s="299">
        <f>'A-N Users'!C33</f>
        <v>0</v>
      </c>
      <c r="G31" s="299">
        <f>'A-N Users'!D33</f>
        <v>-54750</v>
      </c>
      <c r="H31" s="299">
        <f>'A-N Users'!E33</f>
        <v>-93159.013486103577</v>
      </c>
      <c r="I31" s="299">
        <f>'A-N Users'!F33</f>
        <v>-93448.47238154459</v>
      </c>
      <c r="J31" s="299">
        <f>'A-N Users'!G33</f>
        <v>-93743.461026985635</v>
      </c>
      <c r="K31" s="299">
        <f>'A-N Users'!H33</f>
        <v>-94044.034719926669</v>
      </c>
      <c r="L31" s="299">
        <f>'A-N Users'!I33</f>
        <v>-94350.249310842686</v>
      </c>
      <c r="M31" s="299">
        <f>'A-N Users'!J33</f>
        <v>-94662.161208713485</v>
      </c>
      <c r="N31" s="299">
        <f>'A-N Users'!K33</f>
        <v>-94979.82738660858</v>
      </c>
      <c r="O31" s="299">
        <f>'A-N Users'!L33</f>
        <v>-96101.899885237479</v>
      </c>
      <c r="P31" s="299">
        <f>'A-N Users'!M33</f>
        <v>-97229.842324919184</v>
      </c>
      <c r="Q31" s="299">
        <f>'A-N Users'!N33</f>
        <v>-98363.71340506422</v>
      </c>
      <c r="R31" s="299">
        <f>'A-N Users'!O33</f>
        <v>-99503.572412077192</v>
      </c>
      <c r="S31" s="299">
        <f>'A-N Users'!P33</f>
        <v>-100649.47922522678</v>
      </c>
      <c r="T31" s="299">
        <f>'A-N Users'!Q33</f>
        <v>-101801.49432257436</v>
      </c>
      <c r="U31" s="299">
        <f>'A-N Users'!R33</f>
        <v>-102959.67878696191</v>
      </c>
      <c r="V31" s="299">
        <f>'A-N Users'!S33</f>
        <v>-104124.09431205985</v>
      </c>
      <c r="W31" s="299">
        <f>'A-N Users'!T33</f>
        <v>-105294.80320847526</v>
      </c>
      <c r="X31" s="299">
        <f>'A-N Users'!U33</f>
        <v>-106471.86840992133</v>
      </c>
      <c r="Y31" s="299">
        <f>'A-N Users'!V33</f>
        <v>-107655.35347944834</v>
      </c>
      <c r="Z31" s="299">
        <f>'A-N Users'!W33</f>
        <v>-108845.32261573712</v>
      </c>
      <c r="AA31" s="299">
        <f>'A-N Users'!X33</f>
        <v>-110041.84065945528</v>
      </c>
      <c r="AB31" s="299">
        <f>'A-N Users'!Y33</f>
        <v>-111244.97309967715</v>
      </c>
      <c r="AC31" s="408">
        <f>'A-N Users'!Z33</f>
        <v>-112454.78608036772</v>
      </c>
      <c r="AD31" s="364">
        <f t="shared" si="0"/>
        <v>-2275879.9417479285</v>
      </c>
    </row>
    <row r="32" spans="1:33" s="53" customFormat="1" ht="12">
      <c r="A32" s="58"/>
      <c r="B32" s="70"/>
      <c r="C32" s="78" t="s">
        <v>508</v>
      </c>
      <c r="D32" s="228"/>
      <c r="E32" s="235"/>
      <c r="F32" s="299">
        <f>'A-N Users'!C34</f>
        <v>0</v>
      </c>
      <c r="G32" s="299">
        <f>'A-N Users'!D34</f>
        <v>-269917.5</v>
      </c>
      <c r="H32" s="299">
        <f>'A-N Users'!E34</f>
        <v>-518716.51265967323</v>
      </c>
      <c r="I32" s="299">
        <f>'A-N Users'!F34</f>
        <v>-519729.82473003992</v>
      </c>
      <c r="J32" s="299">
        <f>'A-N Users'!G34</f>
        <v>-520770.39846790663</v>
      </c>
      <c r="K32" s="299">
        <f>'A-N Users'!H34</f>
        <v>-521838.50648994837</v>
      </c>
      <c r="L32" s="299">
        <f>'A-N Users'!I34</f>
        <v>-522934.4241390067</v>
      </c>
      <c r="M32" s="299">
        <f>'A-N Users'!J34</f>
        <v>-524058.42951135209</v>
      </c>
      <c r="N32" s="299">
        <f>'A-N Users'!K34</f>
        <v>-525210.8034842175</v>
      </c>
      <c r="O32" s="299">
        <f>'A-N Users'!L34</f>
        <v>-531582.69398001791</v>
      </c>
      <c r="P32" s="299">
        <f>'A-N Users'!M34</f>
        <v>-537983.52328520874</v>
      </c>
      <c r="Q32" s="299">
        <f>'A-N Users'!N34</f>
        <v>-544413.58078788372</v>
      </c>
      <c r="R32" s="299">
        <f>'A-N Users'!O34</f>
        <v>-550873.15877001779</v>
      </c>
      <c r="S32" s="299">
        <f>'A-N Users'!P34</f>
        <v>-557362.55243640533</v>
      </c>
      <c r="T32" s="299">
        <f>'A-N Users'!Q34</f>
        <v>-563882.0599438888</v>
      </c>
      <c r="U32" s="299">
        <f>'A-N Users'!R34</f>
        <v>-570431.98243087961</v>
      </c>
      <c r="V32" s="299">
        <f>'A-N Users'!S34</f>
        <v>-577012.62404717237</v>
      </c>
      <c r="W32" s="299">
        <f>'A-N Users'!T34</f>
        <v>-583624.29198406043</v>
      </c>
      <c r="X32" s="299">
        <f>'A-N Users'!U34</f>
        <v>-590267.29650474945</v>
      </c>
      <c r="Y32" s="299">
        <f>'A-N Users'!V34</f>
        <v>-596941.95097507769</v>
      </c>
      <c r="Z32" s="299">
        <f>'A-N Users'!W34</f>
        <v>-603648.5718945415</v>
      </c>
      <c r="AA32" s="299">
        <f>'A-N Users'!X34</f>
        <v>-610387.47892763198</v>
      </c>
      <c r="AB32" s="299">
        <f>'A-N Users'!Y34</f>
        <v>-617158.99493548588</v>
      </c>
      <c r="AC32" s="408">
        <f>'A-N Users'!Z34</f>
        <v>-623963.44600785035</v>
      </c>
      <c r="AD32" s="364">
        <f t="shared" si="0"/>
        <v>-12582710.606393015</v>
      </c>
    </row>
    <row r="33" spans="1:30" s="53" customFormat="1" ht="12">
      <c r="A33" s="58"/>
      <c r="B33" s="70"/>
      <c r="C33" s="54" t="s">
        <v>509</v>
      </c>
      <c r="D33" s="228"/>
      <c r="E33" s="235"/>
      <c r="F33" s="299">
        <f>'A-N Users'!C35</f>
        <v>0</v>
      </c>
      <c r="G33" s="299">
        <f>'A-N Users'!D35</f>
        <v>47565.643456646481</v>
      </c>
      <c r="H33" s="299">
        <f>'A-N Users'!E35</f>
        <v>89349.622998719104</v>
      </c>
      <c r="I33" s="299">
        <f>'A-N Users'!F35</f>
        <v>87551.028011571383</v>
      </c>
      <c r="J33" s="299">
        <f>'A-N Users'!G35</f>
        <v>85834.499750904695</v>
      </c>
      <c r="K33" s="299">
        <f>'A-N Users'!H35</f>
        <v>84194.884972961328</v>
      </c>
      <c r="L33" s="299">
        <f>'A-N Users'!I35</f>
        <v>82627.457004140218</v>
      </c>
      <c r="M33" s="299">
        <f>'A-N Users'!J35</f>
        <v>81127.872545121601</v>
      </c>
      <c r="N33" s="299">
        <f>'A-N Users'!K35</f>
        <v>79692.13362031494</v>
      </c>
      <c r="O33" s="299">
        <f>'A-N Users'!L35</f>
        <v>80616.250890372263</v>
      </c>
      <c r="P33" s="299">
        <f>'A-N Users'!M35</f>
        <v>81543.776293652874</v>
      </c>
      <c r="Q33" s="299">
        <f>'A-N Users'!N35</f>
        <v>82474.748261803717</v>
      </c>
      <c r="R33" s="299">
        <f>'A-N Users'!O35</f>
        <v>83409.205583365867</v>
      </c>
      <c r="S33" s="299">
        <f>'A-N Users'!P35</f>
        <v>84347.187407210848</v>
      </c>
      <c r="T33" s="299">
        <f>'A-N Users'!Q35</f>
        <v>85288.733246009971</v>
      </c>
      <c r="U33" s="299">
        <f>'A-N Users'!R35</f>
        <v>86233.882979736998</v>
      </c>
      <c r="V33" s="299">
        <f>'A-N Users'!S35</f>
        <v>87182.676859203828</v>
      </c>
      <c r="W33" s="299">
        <f>'A-N Users'!T35</f>
        <v>88135.155509630698</v>
      </c>
      <c r="X33" s="299">
        <f>'A-N Users'!U35</f>
        <v>89091.359934249893</v>
      </c>
      <c r="Y33" s="299">
        <f>'A-N Users'!V35</f>
        <v>90051.331517944578</v>
      </c>
      <c r="Z33" s="299">
        <f>'A-N Users'!W35</f>
        <v>91015.112030921897</v>
      </c>
      <c r="AA33" s="299">
        <f>'A-N Users'!X35</f>
        <v>91982.743632421494</v>
      </c>
      <c r="AB33" s="299">
        <f>'A-N Users'!Y35</f>
        <v>92954.268874459653</v>
      </c>
      <c r="AC33" s="408">
        <f>'A-N Users'!Z35</f>
        <v>93929.730705608919</v>
      </c>
      <c r="AD33" s="365">
        <f t="shared" si="0"/>
        <v>1946199.3060869733</v>
      </c>
    </row>
    <row r="34" spans="1:30" s="53" customFormat="1" ht="12">
      <c r="A34" s="58"/>
      <c r="B34" s="70"/>
      <c r="C34" s="66"/>
      <c r="D34" s="228"/>
      <c r="E34" s="235"/>
      <c r="H34" s="59"/>
      <c r="I34" s="59"/>
      <c r="J34" s="59"/>
      <c r="K34" s="59"/>
      <c r="L34" s="59"/>
      <c r="M34" s="59"/>
      <c r="N34" s="59"/>
      <c r="O34" s="59"/>
      <c r="P34" s="59"/>
      <c r="Q34" s="59"/>
      <c r="R34" s="59"/>
      <c r="S34" s="59"/>
      <c r="T34" s="59"/>
      <c r="U34" s="59"/>
      <c r="V34" s="59"/>
      <c r="W34" s="59"/>
      <c r="X34" s="59"/>
      <c r="Y34" s="59"/>
      <c r="AC34" s="283"/>
      <c r="AD34" s="361">
        <f t="shared" si="0"/>
        <v>0</v>
      </c>
    </row>
    <row r="35" spans="1:30" s="53" customFormat="1" ht="12">
      <c r="A35" s="58" t="s">
        <v>233</v>
      </c>
      <c r="B35" s="58"/>
      <c r="D35" s="228"/>
      <c r="E35" s="235"/>
      <c r="H35" s="59"/>
      <c r="I35" s="59"/>
      <c r="J35" s="59"/>
      <c r="K35" s="59"/>
      <c r="L35" s="59"/>
      <c r="M35" s="59"/>
      <c r="N35" s="59"/>
      <c r="O35" s="59"/>
      <c r="P35" s="59"/>
      <c r="Q35" s="59"/>
      <c r="R35" s="59"/>
      <c r="S35" s="59"/>
      <c r="T35" s="59"/>
      <c r="U35" s="59"/>
      <c r="V35" s="59"/>
      <c r="W35" s="59"/>
      <c r="X35" s="59"/>
      <c r="Y35" s="59"/>
      <c r="AC35" s="283"/>
      <c r="AD35" s="361">
        <f t="shared" si="0"/>
        <v>0</v>
      </c>
    </row>
    <row r="36" spans="1:30" s="53" customFormat="1" ht="12">
      <c r="A36" s="58"/>
      <c r="B36" s="5" t="s">
        <v>369</v>
      </c>
      <c r="D36" s="228"/>
      <c r="E36" s="235"/>
      <c r="H36" s="59"/>
      <c r="I36" s="59"/>
      <c r="J36" s="59"/>
      <c r="K36" s="59"/>
      <c r="L36" s="59"/>
      <c r="M36" s="59"/>
      <c r="N36" s="59"/>
      <c r="O36" s="59"/>
      <c r="P36" s="59"/>
      <c r="Q36" s="59"/>
      <c r="R36" s="59"/>
      <c r="S36" s="59"/>
      <c r="T36" s="59"/>
      <c r="U36" s="59"/>
      <c r="V36" s="59"/>
      <c r="W36" s="59"/>
      <c r="X36" s="59"/>
      <c r="Y36" s="59"/>
      <c r="AC36" s="283"/>
      <c r="AD36" s="361">
        <f t="shared" si="0"/>
        <v>0</v>
      </c>
    </row>
    <row r="37" spans="1:30" s="53" customFormat="1" ht="12">
      <c r="A37" s="58"/>
      <c r="B37" s="70" t="s">
        <v>370</v>
      </c>
      <c r="C37" s="70" t="s">
        <v>366</v>
      </c>
      <c r="D37" s="228"/>
      <c r="E37" s="235"/>
      <c r="F37" s="105">
        <f>'A-N Users'!C25</f>
        <v>9886273.6000399999</v>
      </c>
      <c r="G37" s="105">
        <f>'A-N Users'!D25</f>
        <v>9915539.7000799999</v>
      </c>
      <c r="H37" s="105">
        <f>'A-N Users'!E25</f>
        <v>0</v>
      </c>
      <c r="I37" s="105">
        <f>'A-N Users'!F25</f>
        <v>0</v>
      </c>
      <c r="J37" s="105">
        <f>'A-N Users'!G25</f>
        <v>0</v>
      </c>
      <c r="K37" s="105">
        <f>'A-N Users'!H25</f>
        <v>0</v>
      </c>
      <c r="L37" s="105">
        <f>'A-N Users'!I25</f>
        <v>0</v>
      </c>
      <c r="M37" s="105">
        <f>'A-N Users'!J25</f>
        <v>0</v>
      </c>
      <c r="N37" s="105">
        <f>'A-N Users'!K25</f>
        <v>0</v>
      </c>
      <c r="O37" s="105">
        <f>'A-N Users'!L25</f>
        <v>0</v>
      </c>
      <c r="P37" s="105">
        <f>'A-N Users'!M25</f>
        <v>0</v>
      </c>
      <c r="Q37" s="105">
        <f>'A-N Users'!N25</f>
        <v>0</v>
      </c>
      <c r="R37" s="105">
        <f>'A-N Users'!O25</f>
        <v>0</v>
      </c>
      <c r="S37" s="105">
        <f>'A-N Users'!P25</f>
        <v>0</v>
      </c>
      <c r="T37" s="105">
        <f>'A-N Users'!Q25</f>
        <v>0</v>
      </c>
      <c r="U37" s="105">
        <f>'A-N Users'!R25</f>
        <v>0</v>
      </c>
      <c r="V37" s="105">
        <f>'A-N Users'!S25</f>
        <v>0</v>
      </c>
      <c r="W37" s="105">
        <f>'A-N Users'!T25</f>
        <v>0</v>
      </c>
      <c r="X37" s="105">
        <f>'A-N Users'!U25</f>
        <v>0</v>
      </c>
      <c r="Y37" s="105">
        <f>'A-N Users'!V25</f>
        <v>0</v>
      </c>
      <c r="Z37" s="105">
        <f>'A-N Users'!W25</f>
        <v>0</v>
      </c>
      <c r="AA37" s="105">
        <f>'A-N Users'!X25</f>
        <v>0</v>
      </c>
      <c r="AB37" s="105">
        <f>'A-N Users'!Y25</f>
        <v>0</v>
      </c>
      <c r="AC37" s="287">
        <f>'A-N Users'!Z33</f>
        <v>-112454.78608036772</v>
      </c>
      <c r="AD37" s="366">
        <f t="shared" si="0"/>
        <v>19689358.514039632</v>
      </c>
    </row>
    <row r="38" spans="1:30" s="53" customFormat="1" ht="12">
      <c r="A38" s="58"/>
      <c r="B38" s="70" t="s">
        <v>371</v>
      </c>
      <c r="C38" s="70" t="s">
        <v>530</v>
      </c>
      <c r="D38" s="228"/>
      <c r="E38" s="235"/>
      <c r="F38" s="299">
        <f>'A-N Users'!C26</f>
        <v>0</v>
      </c>
      <c r="G38" s="299">
        <f>'A-N Users'!D26</f>
        <v>-27375</v>
      </c>
      <c r="H38" s="299">
        <f>'A-N Users'!E26</f>
        <v>-46579.506743051788</v>
      </c>
      <c r="I38" s="299">
        <f>'A-N Users'!F26</f>
        <v>-46724.236190772295</v>
      </c>
      <c r="J38" s="299">
        <f>'A-N Users'!G26</f>
        <v>-46871.730513492817</v>
      </c>
      <c r="K38" s="299">
        <f>'A-N Users'!H26</f>
        <v>-47022.017359963334</v>
      </c>
      <c r="L38" s="299">
        <f>'A-N Users'!I26</f>
        <v>-47175.124655421343</v>
      </c>
      <c r="M38" s="299">
        <f>'A-N Users'!J26</f>
        <v>-47331.080604356743</v>
      </c>
      <c r="N38" s="299">
        <f>'A-N Users'!K26</f>
        <v>-47489.91369330429</v>
      </c>
      <c r="O38" s="299">
        <f>'A-N Users'!L26</f>
        <v>-48050.949942618739</v>
      </c>
      <c r="P38" s="299">
        <f>'A-N Users'!M26</f>
        <v>-48614.921162459592</v>
      </c>
      <c r="Q38" s="299">
        <f>'A-N Users'!N26</f>
        <v>-49181.85670253211</v>
      </c>
      <c r="R38" s="299">
        <f>'A-N Users'!O26</f>
        <v>-49751.786206038596</v>
      </c>
      <c r="S38" s="299">
        <f>'A-N Users'!P26</f>
        <v>-50324.73961261339</v>
      </c>
      <c r="T38" s="299">
        <f>'A-N Users'!Q26</f>
        <v>-50900.747161287181</v>
      </c>
      <c r="U38" s="299">
        <f>'A-N Users'!R26</f>
        <v>-51479.839393480957</v>
      </c>
      <c r="V38" s="299">
        <f>'A-N Users'!S26</f>
        <v>-52062.047156029927</v>
      </c>
      <c r="W38" s="299">
        <f>'A-N Users'!T26</f>
        <v>-52647.401604237632</v>
      </c>
      <c r="X38" s="299">
        <f>'A-N Users'!U26</f>
        <v>-53235.934204960664</v>
      </c>
      <c r="Y38" s="299">
        <f>'A-N Users'!V26</f>
        <v>-53827.676739724171</v>
      </c>
      <c r="Z38" s="299">
        <f>'A-N Users'!W26</f>
        <v>-54422.661307868562</v>
      </c>
      <c r="AA38" s="299">
        <f>'A-N Users'!X26</f>
        <v>-55020.92032972764</v>
      </c>
      <c r="AB38" s="299">
        <f>'A-N Users'!Y26</f>
        <v>-55622.486549838577</v>
      </c>
      <c r="AC38" s="408">
        <f>'A-N Users'!Z34</f>
        <v>-623963.44600785035</v>
      </c>
      <c r="AD38" s="364">
        <f t="shared" si="0"/>
        <v>-1705676.0238416307</v>
      </c>
    </row>
    <row r="39" spans="1:30" s="53" customFormat="1" ht="12">
      <c r="A39" s="58"/>
      <c r="B39" s="70"/>
      <c r="C39" s="70" t="s">
        <v>366</v>
      </c>
      <c r="D39" s="228"/>
      <c r="E39" s="235"/>
      <c r="F39" s="105">
        <f>'A-N Users'!C27</f>
        <v>0</v>
      </c>
      <c r="G39" s="105">
        <f>'A-N Users'!D27</f>
        <v>0</v>
      </c>
      <c r="H39" s="105">
        <f>'A-N Users'!E27</f>
        <v>9898226.2933769487</v>
      </c>
      <c r="I39" s="105">
        <f>'A-N Users'!F27</f>
        <v>9927347.663969228</v>
      </c>
      <c r="J39" s="105">
        <f>'A-N Users'!G27</f>
        <v>9956466.2696865071</v>
      </c>
      <c r="K39" s="105">
        <f>'A-N Users'!H27</f>
        <v>9985582.0828800388</v>
      </c>
      <c r="L39" s="105">
        <f>'A-N Users'!I27</f>
        <v>10014695.07562458</v>
      </c>
      <c r="M39" s="105">
        <f>'A-N Users'!J27</f>
        <v>10043805.219715642</v>
      </c>
      <c r="N39" s="105">
        <f>'A-N Users'!K27</f>
        <v>10072912.486666696</v>
      </c>
      <c r="O39" s="105">
        <f>'A-N Users'!L27</f>
        <v>10101617.550457381</v>
      </c>
      <c r="P39" s="105">
        <f>'A-N Users'!M27</f>
        <v>10130319.679277539</v>
      </c>
      <c r="Q39" s="105">
        <f>'A-N Users'!N27</f>
        <v>10159018.843777467</v>
      </c>
      <c r="R39" s="105">
        <f>'A-N Users'!O27</f>
        <v>10187715.014313962</v>
      </c>
      <c r="S39" s="105">
        <f>'A-N Users'!P27</f>
        <v>10216408.160947388</v>
      </c>
      <c r="T39" s="105">
        <f>'A-N Users'!Q27</f>
        <v>10245098.253438711</v>
      </c>
      <c r="U39" s="105">
        <f>'A-N Users'!R27</f>
        <v>10273785.261246519</v>
      </c>
      <c r="V39" s="105">
        <f>'A-N Users'!S27</f>
        <v>10302469.15352397</v>
      </c>
      <c r="W39" s="105">
        <f>'A-N Users'!T27</f>
        <v>10331149.899115762</v>
      </c>
      <c r="X39" s="105">
        <f>'A-N Users'!U27</f>
        <v>10359827.46655504</v>
      </c>
      <c r="Y39" s="105">
        <f>'A-N Users'!V27</f>
        <v>9954543.2427602764</v>
      </c>
      <c r="Z39" s="105">
        <f>'A-N Users'!W27</f>
        <v>9525874.1776921302</v>
      </c>
      <c r="AA39" s="105">
        <f>'A-N Users'!X27</f>
        <v>9097201.8381702732</v>
      </c>
      <c r="AB39" s="105">
        <f>'A-N Users'!Y27</f>
        <v>8668526.19145016</v>
      </c>
      <c r="AC39" s="287">
        <f>'A-N Users'!Z35</f>
        <v>93929.730705608919</v>
      </c>
      <c r="AD39" s="366">
        <f t="shared" si="0"/>
        <v>209546519.55535179</v>
      </c>
    </row>
    <row r="40" spans="1:30" s="53" customFormat="1" ht="12">
      <c r="A40" s="58"/>
      <c r="B40" s="58"/>
      <c r="D40" s="228"/>
      <c r="E40" s="235"/>
      <c r="AC40" s="283"/>
      <c r="AD40" s="361">
        <f t="shared" si="0"/>
        <v>0</v>
      </c>
    </row>
    <row r="41" spans="1:30" s="53" customFormat="1" ht="12">
      <c r="A41" s="58"/>
      <c r="B41" s="58"/>
      <c r="D41" s="228"/>
      <c r="E41" s="235"/>
      <c r="H41" s="59"/>
      <c r="I41" s="59"/>
      <c r="J41" s="59"/>
      <c r="K41" s="59"/>
      <c r="L41" s="59"/>
      <c r="M41" s="59"/>
      <c r="N41" s="59"/>
      <c r="O41" s="59"/>
      <c r="P41" s="59"/>
      <c r="Q41" s="59"/>
      <c r="R41" s="59"/>
      <c r="S41" s="59"/>
      <c r="T41" s="59"/>
      <c r="U41" s="59"/>
      <c r="V41" s="59"/>
      <c r="W41" s="59"/>
      <c r="X41" s="59"/>
      <c r="Y41" s="59"/>
      <c r="AC41" s="283"/>
      <c r="AD41" s="361">
        <f t="shared" si="0"/>
        <v>0</v>
      </c>
    </row>
    <row r="42" spans="1:30" s="53" customFormat="1" ht="12">
      <c r="A42" s="58" t="s">
        <v>364</v>
      </c>
      <c r="B42" s="58"/>
      <c r="D42" s="228"/>
      <c r="E42" s="235"/>
      <c r="H42" s="59"/>
      <c r="I42" s="59"/>
      <c r="J42" s="59"/>
      <c r="K42" s="59"/>
      <c r="L42" s="59"/>
      <c r="M42" s="59"/>
      <c r="N42" s="59"/>
      <c r="O42" s="59"/>
      <c r="P42" s="59"/>
      <c r="Q42" s="59"/>
      <c r="R42" s="59"/>
      <c r="S42" s="59"/>
      <c r="T42" s="59"/>
      <c r="U42" s="59"/>
      <c r="V42" s="59"/>
      <c r="W42" s="59"/>
      <c r="X42" s="59"/>
      <c r="Y42" s="59"/>
      <c r="AC42" s="283"/>
      <c r="AD42" s="361">
        <f t="shared" si="0"/>
        <v>0</v>
      </c>
    </row>
    <row r="43" spans="1:30" s="53" customFormat="1" ht="12">
      <c r="A43" s="58"/>
      <c r="B43" s="58"/>
      <c r="C43" s="216" t="s">
        <v>365</v>
      </c>
      <c r="D43" s="228"/>
      <c r="E43" s="235"/>
      <c r="H43" s="59"/>
      <c r="I43" s="59"/>
      <c r="J43" s="59"/>
      <c r="K43" s="59"/>
      <c r="L43" s="59"/>
      <c r="M43" s="59"/>
      <c r="N43" s="59"/>
      <c r="O43" s="59"/>
      <c r="P43" s="59"/>
      <c r="Q43" s="59"/>
      <c r="R43" s="59"/>
      <c r="S43" s="59"/>
      <c r="T43" s="59"/>
      <c r="U43" s="59"/>
      <c r="V43" s="59"/>
      <c r="W43" s="59"/>
      <c r="X43" s="59"/>
      <c r="Y43" s="59"/>
      <c r="AC43" s="283"/>
      <c r="AD43" s="361">
        <f t="shared" si="0"/>
        <v>0</v>
      </c>
    </row>
    <row r="44" spans="1:30" s="53" customFormat="1" ht="12">
      <c r="A44" s="58"/>
      <c r="B44" s="58"/>
      <c r="D44" s="228"/>
      <c r="E44" s="235"/>
      <c r="H44" s="59"/>
      <c r="I44" s="59"/>
      <c r="J44" s="59"/>
      <c r="K44" s="59"/>
      <c r="L44" s="59"/>
      <c r="M44" s="59"/>
      <c r="N44" s="59"/>
      <c r="O44" s="59"/>
      <c r="P44" s="59"/>
      <c r="Q44" s="59"/>
      <c r="R44" s="59"/>
      <c r="S44" s="59"/>
      <c r="T44" s="59"/>
      <c r="U44" s="59"/>
      <c r="V44" s="59"/>
      <c r="W44" s="59"/>
      <c r="X44" s="59"/>
      <c r="Y44" s="59"/>
      <c r="AC44" s="283"/>
      <c r="AD44" s="361">
        <f t="shared" si="0"/>
        <v>0</v>
      </c>
    </row>
    <row r="45" spans="1:30" s="53" customFormat="1" ht="12">
      <c r="A45" s="58"/>
      <c r="B45" s="58"/>
      <c r="D45" s="228"/>
      <c r="E45" s="235"/>
      <c r="H45" s="59"/>
      <c r="I45" s="59"/>
      <c r="J45" s="59"/>
      <c r="K45" s="59"/>
      <c r="L45" s="59"/>
      <c r="M45" s="59"/>
      <c r="N45" s="59"/>
      <c r="O45" s="59"/>
      <c r="P45" s="59"/>
      <c r="Q45" s="59"/>
      <c r="R45" s="59"/>
      <c r="S45" s="59"/>
      <c r="T45" s="59"/>
      <c r="U45" s="59"/>
      <c r="V45" s="59"/>
      <c r="W45" s="59"/>
      <c r="X45" s="59"/>
      <c r="Y45" s="59"/>
      <c r="AC45" s="283"/>
      <c r="AD45" s="361">
        <f t="shared" si="0"/>
        <v>0</v>
      </c>
    </row>
    <row r="46" spans="1:30" s="53" customFormat="1" ht="12">
      <c r="A46" s="58"/>
      <c r="B46" s="58"/>
      <c r="C46" s="45"/>
      <c r="D46" s="229"/>
      <c r="E46" s="235"/>
      <c r="F46" s="59"/>
      <c r="G46" s="59"/>
      <c r="H46" s="59"/>
      <c r="I46" s="59"/>
      <c r="J46" s="59"/>
      <c r="K46" s="59"/>
      <c r="L46" s="59"/>
      <c r="M46" s="59"/>
      <c r="N46" s="59"/>
      <c r="O46" s="59"/>
      <c r="P46" s="59"/>
      <c r="Q46" s="59"/>
      <c r="R46" s="59"/>
      <c r="S46" s="59"/>
      <c r="T46" s="59"/>
      <c r="U46" s="59"/>
      <c r="V46" s="59"/>
      <c r="W46" s="59"/>
      <c r="X46" s="59"/>
      <c r="Y46" s="59"/>
      <c r="AC46" s="283"/>
      <c r="AD46" s="361">
        <f t="shared" si="0"/>
        <v>0</v>
      </c>
    </row>
    <row r="47" spans="1:30" s="53" customFormat="1" ht="12">
      <c r="A47" s="44" t="s">
        <v>362</v>
      </c>
      <c r="B47" s="44"/>
      <c r="C47" s="45"/>
      <c r="D47" s="229"/>
      <c r="E47" s="236"/>
      <c r="F47" s="45"/>
      <c r="G47" s="59"/>
      <c r="H47" s="59"/>
      <c r="I47" s="59"/>
      <c r="J47" s="59"/>
      <c r="K47" s="59"/>
      <c r="L47" s="59"/>
      <c r="M47" s="59"/>
      <c r="N47" s="59"/>
      <c r="O47" s="59"/>
      <c r="P47" s="59"/>
      <c r="Q47" s="59"/>
      <c r="R47" s="59"/>
      <c r="S47" s="59"/>
      <c r="T47" s="59"/>
      <c r="U47" s="59"/>
      <c r="V47" s="59"/>
      <c r="W47" s="59"/>
      <c r="X47" s="59"/>
      <c r="Y47" s="59"/>
      <c r="AC47" s="283"/>
      <c r="AD47" s="361">
        <f t="shared" si="0"/>
        <v>0</v>
      </c>
    </row>
    <row r="48" spans="1:30" s="53" customFormat="1" ht="12">
      <c r="A48" s="44"/>
      <c r="B48" s="44"/>
      <c r="C48" s="45"/>
      <c r="D48" s="229"/>
      <c r="E48" s="236"/>
      <c r="F48" s="45"/>
      <c r="G48" s="59"/>
      <c r="H48" s="59"/>
      <c r="I48" s="59"/>
      <c r="J48" s="59"/>
      <c r="K48" s="59"/>
      <c r="L48" s="59"/>
      <c r="M48" s="59"/>
      <c r="N48" s="59"/>
      <c r="O48" s="59"/>
      <c r="P48" s="59"/>
      <c r="Q48" s="59"/>
      <c r="R48" s="59"/>
      <c r="S48" s="59"/>
      <c r="T48" s="59"/>
      <c r="U48" s="59"/>
      <c r="V48" s="59"/>
      <c r="W48" s="59"/>
      <c r="X48" s="59"/>
      <c r="Y48" s="59"/>
      <c r="AC48" s="283"/>
      <c r="AD48" s="361">
        <f t="shared" si="0"/>
        <v>0</v>
      </c>
    </row>
    <row r="49" spans="1:30" s="53" customFormat="1" ht="12">
      <c r="A49" s="44"/>
      <c r="B49" s="5" t="s">
        <v>367</v>
      </c>
      <c r="C49" s="45"/>
      <c r="D49" s="229"/>
      <c r="E49" s="236"/>
      <c r="F49" s="45"/>
      <c r="G49" s="59"/>
      <c r="H49" s="59"/>
      <c r="I49" s="59"/>
      <c r="J49" s="59"/>
      <c r="K49" s="59"/>
      <c r="L49" s="59"/>
      <c r="M49" s="59"/>
      <c r="N49" s="59"/>
      <c r="O49" s="59"/>
      <c r="P49" s="59"/>
      <c r="Q49" s="59"/>
      <c r="R49" s="59"/>
      <c r="S49" s="59"/>
      <c r="T49" s="59"/>
      <c r="U49" s="59"/>
      <c r="V49" s="59"/>
      <c r="W49" s="59"/>
      <c r="X49" s="59"/>
      <c r="Y49" s="59"/>
      <c r="AC49" s="283"/>
      <c r="AD49" s="361">
        <f t="shared" si="0"/>
        <v>0</v>
      </c>
    </row>
    <row r="50" spans="1:30" s="53" customFormat="1" ht="12">
      <c r="A50" s="44"/>
      <c r="B50" s="270" t="s">
        <v>463</v>
      </c>
      <c r="C50" s="70" t="s">
        <v>366</v>
      </c>
      <c r="D50" s="229"/>
      <c r="E50" s="236"/>
      <c r="F50" s="45"/>
      <c r="G50" s="59"/>
      <c r="H50" s="59"/>
      <c r="I50" s="59"/>
      <c r="J50" s="59"/>
      <c r="K50" s="59"/>
      <c r="L50" s="59"/>
      <c r="M50" s="59"/>
      <c r="N50" s="59"/>
      <c r="O50" s="59"/>
      <c r="P50" s="59"/>
      <c r="Q50" s="59"/>
      <c r="R50" s="59"/>
      <c r="S50" s="59"/>
      <c r="T50" s="59"/>
      <c r="U50" s="59"/>
      <c r="V50" s="59"/>
      <c r="W50" s="59"/>
      <c r="X50" s="59"/>
      <c r="Y50" s="59"/>
      <c r="AC50" s="283"/>
      <c r="AD50" s="361">
        <f t="shared" si="0"/>
        <v>0</v>
      </c>
    </row>
    <row r="51" spans="1:30" s="53" customFormat="1" ht="12">
      <c r="A51" s="44"/>
      <c r="C51" s="63" t="s">
        <v>131</v>
      </c>
      <c r="D51" s="229"/>
      <c r="E51" s="236"/>
      <c r="F51" s="45"/>
      <c r="G51" s="59"/>
      <c r="H51" s="59"/>
      <c r="I51" s="59"/>
      <c r="J51" s="59"/>
      <c r="K51" s="59"/>
      <c r="L51" s="59"/>
      <c r="M51" s="59"/>
      <c r="N51" s="59"/>
      <c r="O51" s="59"/>
      <c r="P51" s="59"/>
      <c r="Q51" s="59"/>
      <c r="R51" s="59"/>
      <c r="S51" s="59"/>
      <c r="T51" s="59"/>
      <c r="U51" s="59"/>
      <c r="V51" s="59"/>
      <c r="W51" s="59"/>
      <c r="X51" s="59"/>
      <c r="Y51" s="59"/>
      <c r="AC51" s="283"/>
      <c r="AD51" s="361">
        <f t="shared" si="0"/>
        <v>0</v>
      </c>
    </row>
    <row r="52" spans="1:30" s="53" customFormat="1" ht="12">
      <c r="A52" s="44"/>
      <c r="C52" s="245" t="s">
        <v>428</v>
      </c>
      <c r="D52" s="267">
        <v>0</v>
      </c>
      <c r="E52" s="236"/>
      <c r="F52" s="45"/>
      <c r="G52" s="59"/>
      <c r="H52" s="59"/>
      <c r="I52" s="59"/>
      <c r="J52" s="59"/>
      <c r="K52" s="59"/>
      <c r="L52" s="59"/>
      <c r="M52" s="59"/>
      <c r="N52" s="59"/>
      <c r="O52" s="59"/>
      <c r="P52" s="59"/>
      <c r="Q52" s="59"/>
      <c r="R52" s="59"/>
      <c r="S52" s="59"/>
      <c r="T52" s="59"/>
      <c r="U52" s="59"/>
      <c r="V52" s="59"/>
      <c r="W52" s="59"/>
      <c r="X52" s="59"/>
      <c r="Y52" s="59"/>
      <c r="AC52" s="283"/>
      <c r="AD52" s="361">
        <f t="shared" si="0"/>
        <v>0</v>
      </c>
    </row>
    <row r="53" spans="1:30" s="53" customFormat="1" ht="12">
      <c r="A53" s="44"/>
      <c r="C53" s="243" t="s">
        <v>419</v>
      </c>
      <c r="D53" s="273">
        <v>26.21</v>
      </c>
      <c r="E53" s="236"/>
      <c r="F53" s="45"/>
      <c r="G53" s="59"/>
      <c r="H53" s="59"/>
      <c r="I53" s="59"/>
      <c r="J53" s="59"/>
      <c r="K53" s="59"/>
      <c r="L53" s="59"/>
      <c r="M53" s="59"/>
      <c r="N53" s="59"/>
      <c r="O53" s="59"/>
      <c r="P53" s="59"/>
      <c r="Q53" s="59"/>
      <c r="R53" s="59"/>
      <c r="S53" s="59"/>
      <c r="T53" s="59"/>
      <c r="U53" s="59"/>
      <c r="V53" s="59"/>
      <c r="W53" s="59"/>
      <c r="X53" s="59"/>
      <c r="Y53" s="59"/>
      <c r="AC53" s="283"/>
      <c r="AD53" s="361">
        <f t="shared" si="0"/>
        <v>0</v>
      </c>
    </row>
    <row r="54" spans="1:30" s="53" customFormat="1" ht="12">
      <c r="A54" s="44"/>
      <c r="C54" s="62" t="s">
        <v>429</v>
      </c>
      <c r="D54" s="273"/>
      <c r="E54" s="236"/>
      <c r="F54" s="305">
        <v>0</v>
      </c>
      <c r="G54" s="305">
        <v>0</v>
      </c>
      <c r="H54" s="305">
        <v>0</v>
      </c>
      <c r="I54" s="338">
        <v>0</v>
      </c>
      <c r="J54" s="338">
        <f t="shared" ref="J54:AC54" si="1">$D$53*$D$52*J10</f>
        <v>0</v>
      </c>
      <c r="K54" s="338">
        <f t="shared" si="1"/>
        <v>0</v>
      </c>
      <c r="L54" s="338">
        <f t="shared" si="1"/>
        <v>0</v>
      </c>
      <c r="M54" s="338">
        <f t="shared" si="1"/>
        <v>0</v>
      </c>
      <c r="N54" s="338">
        <f t="shared" si="1"/>
        <v>0</v>
      </c>
      <c r="O54" s="338">
        <f t="shared" si="1"/>
        <v>0</v>
      </c>
      <c r="P54" s="338">
        <f t="shared" si="1"/>
        <v>0</v>
      </c>
      <c r="Q54" s="338">
        <f t="shared" si="1"/>
        <v>0</v>
      </c>
      <c r="R54" s="338">
        <f t="shared" si="1"/>
        <v>0</v>
      </c>
      <c r="S54" s="338">
        <f t="shared" si="1"/>
        <v>0</v>
      </c>
      <c r="T54" s="338">
        <f t="shared" si="1"/>
        <v>0</v>
      </c>
      <c r="U54" s="338">
        <f t="shared" si="1"/>
        <v>0</v>
      </c>
      <c r="V54" s="338">
        <f t="shared" si="1"/>
        <v>0</v>
      </c>
      <c r="W54" s="338">
        <f t="shared" si="1"/>
        <v>0</v>
      </c>
      <c r="X54" s="338">
        <f t="shared" si="1"/>
        <v>0</v>
      </c>
      <c r="Y54" s="338">
        <f t="shared" si="1"/>
        <v>0</v>
      </c>
      <c r="Z54" s="338">
        <f t="shared" si="1"/>
        <v>0</v>
      </c>
      <c r="AA54" s="338">
        <f t="shared" si="1"/>
        <v>0</v>
      </c>
      <c r="AB54" s="338">
        <f t="shared" si="1"/>
        <v>0</v>
      </c>
      <c r="AC54" s="339">
        <f t="shared" si="1"/>
        <v>0</v>
      </c>
      <c r="AD54" s="367">
        <f t="shared" si="0"/>
        <v>0</v>
      </c>
    </row>
    <row r="55" spans="1:30" s="53" customFormat="1" ht="12">
      <c r="A55" s="44"/>
      <c r="B55" s="44"/>
      <c r="D55" s="273"/>
      <c r="E55" s="236"/>
      <c r="G55" s="59"/>
      <c r="H55" s="59"/>
      <c r="I55" s="59"/>
      <c r="J55" s="59"/>
      <c r="K55" s="59"/>
      <c r="L55" s="59"/>
      <c r="M55" s="59"/>
      <c r="N55" s="59"/>
      <c r="O55" s="59"/>
      <c r="P55" s="59"/>
      <c r="Q55" s="59"/>
      <c r="R55" s="59"/>
      <c r="S55" s="59"/>
      <c r="T55" s="59"/>
      <c r="U55" s="59"/>
      <c r="V55" s="59"/>
      <c r="W55" s="59"/>
      <c r="X55" s="59"/>
      <c r="Y55" s="59"/>
      <c r="AC55" s="283"/>
      <c r="AD55" s="361">
        <f t="shared" si="0"/>
        <v>0</v>
      </c>
    </row>
    <row r="56" spans="1:30" s="53" customFormat="1" ht="12">
      <c r="A56" s="44"/>
      <c r="B56" s="270" t="s">
        <v>462</v>
      </c>
      <c r="C56" s="54" t="s">
        <v>425</v>
      </c>
      <c r="D56" s="273"/>
      <c r="E56" s="236"/>
      <c r="F56" s="45">
        <f>F11</f>
        <v>0</v>
      </c>
      <c r="G56" s="45">
        <f t="shared" ref="G56:AC56" si="2">G11</f>
        <v>0</v>
      </c>
      <c r="H56" s="104">
        <f t="shared" si="2"/>
        <v>36580.13375127397</v>
      </c>
      <c r="I56" s="104">
        <f t="shared" si="2"/>
        <v>36325.536048677641</v>
      </c>
      <c r="J56" s="104">
        <f t="shared" si="2"/>
        <v>36070.938346081319</v>
      </c>
      <c r="K56" s="104">
        <f t="shared" si="2"/>
        <v>35816.340643484989</v>
      </c>
      <c r="L56" s="104">
        <f t="shared" si="2"/>
        <v>35561.742940888667</v>
      </c>
      <c r="M56" s="104">
        <f t="shared" si="2"/>
        <v>35307.145238292331</v>
      </c>
      <c r="N56" s="104">
        <f t="shared" si="2"/>
        <v>35052.547535696009</v>
      </c>
      <c r="O56" s="104">
        <f t="shared" si="2"/>
        <v>35569.516811194095</v>
      </c>
      <c r="P56" s="104">
        <f t="shared" si="2"/>
        <v>36086.486086692181</v>
      </c>
      <c r="Q56" s="104">
        <f t="shared" si="2"/>
        <v>36603.455362190267</v>
      </c>
      <c r="R56" s="104">
        <f t="shared" si="2"/>
        <v>37120.42463768836</v>
      </c>
      <c r="S56" s="104">
        <f t="shared" si="2"/>
        <v>37637.393913186439</v>
      </c>
      <c r="T56" s="104">
        <f t="shared" si="2"/>
        <v>38154.363188684525</v>
      </c>
      <c r="U56" s="104">
        <f t="shared" si="2"/>
        <v>38671.332464182618</v>
      </c>
      <c r="V56" s="104">
        <f t="shared" si="2"/>
        <v>39188.301739680697</v>
      </c>
      <c r="W56" s="104">
        <f t="shared" si="2"/>
        <v>39705.271015178783</v>
      </c>
      <c r="X56" s="104">
        <f t="shared" si="2"/>
        <v>40222.240290676877</v>
      </c>
      <c r="Y56" s="104">
        <f t="shared" si="2"/>
        <v>40739.209566174963</v>
      </c>
      <c r="Z56" s="104">
        <f t="shared" si="2"/>
        <v>41256.178841673056</v>
      </c>
      <c r="AA56" s="104">
        <f t="shared" si="2"/>
        <v>41773.148117171128</v>
      </c>
      <c r="AB56" s="104">
        <f t="shared" si="2"/>
        <v>42290.117392669228</v>
      </c>
      <c r="AC56" s="287">
        <f t="shared" si="2"/>
        <v>42807.0866681673</v>
      </c>
      <c r="AD56" s="366">
        <f t="shared" si="0"/>
        <v>838538.91059960541</v>
      </c>
    </row>
    <row r="57" spans="1:30" s="53" customFormat="1" ht="12">
      <c r="A57" s="44"/>
      <c r="B57" s="70"/>
      <c r="C57" s="63" t="s">
        <v>131</v>
      </c>
      <c r="D57" s="273"/>
      <c r="E57" s="236"/>
      <c r="F57" s="45"/>
      <c r="G57" s="45"/>
      <c r="H57" s="45"/>
      <c r="I57" s="45"/>
      <c r="J57" s="45"/>
      <c r="K57" s="45"/>
      <c r="L57" s="45"/>
      <c r="M57" s="45"/>
      <c r="N57" s="45"/>
      <c r="O57" s="45"/>
      <c r="P57" s="45"/>
      <c r="Q57" s="45"/>
      <c r="R57" s="45"/>
      <c r="S57" s="45"/>
      <c r="T57" s="45"/>
      <c r="U57" s="45"/>
      <c r="V57" s="45"/>
      <c r="W57" s="45"/>
      <c r="X57" s="45"/>
      <c r="Y57" s="45"/>
      <c r="Z57" s="45"/>
      <c r="AA57" s="45"/>
      <c r="AB57" s="45"/>
      <c r="AC57" s="283"/>
      <c r="AD57" s="361">
        <f t="shared" si="0"/>
        <v>0</v>
      </c>
    </row>
    <row r="58" spans="1:30" s="53" customFormat="1" ht="12">
      <c r="A58" s="44"/>
      <c r="B58" s="70"/>
      <c r="C58" s="243" t="s">
        <v>403</v>
      </c>
      <c r="D58" s="273"/>
      <c r="E58" s="236"/>
      <c r="F58" s="318">
        <f>'Mode Operating Assumptions'!D29</f>
        <v>0.39100279786137265</v>
      </c>
      <c r="G58" s="318">
        <f>'Mode Operating Assumptions'!E29</f>
        <v>0.39205714599476826</v>
      </c>
      <c r="H58" s="318">
        <f>'Mode Operating Assumptions'!F29</f>
        <v>0.39311874523828177</v>
      </c>
      <c r="I58" s="318">
        <f>'Mode Operating Assumptions'!G29</f>
        <v>0.39418767065254157</v>
      </c>
      <c r="J58" s="318">
        <f>'Mode Operating Assumptions'!H29</f>
        <v>0.39526399833776032</v>
      </c>
      <c r="K58" s="318">
        <f>'Mode Operating Assumptions'!I29</f>
        <v>0.39634780545179538</v>
      </c>
      <c r="L58" s="318">
        <f>'Mode Operating Assumptions'!J29</f>
        <v>0.39743917022858699</v>
      </c>
      <c r="M58" s="318">
        <f>'Mode Operating Assumptions'!K29</f>
        <v>0.39853817199698321</v>
      </c>
      <c r="N58" s="318">
        <f>'Mode Operating Assumptions'!L29</f>
        <v>0.39964489119996166</v>
      </c>
      <c r="O58" s="318">
        <f>'Mode Operating Assumptions'!M29</f>
        <v>0.40075940941425758</v>
      </c>
      <c r="P58" s="318">
        <f>'Mode Operating Assumptions'!N29</f>
        <v>0.40188180937040846</v>
      </c>
      <c r="Q58" s="318">
        <f>'Mode Operating Assumptions'!O29</f>
        <v>0.40301217497322528</v>
      </c>
      <c r="R58" s="318">
        <f>'Mode Operating Assumptions'!P29</f>
        <v>0.40415059132270104</v>
      </c>
      <c r="S58" s="318">
        <f>'Mode Operating Assumptions'!Q29</f>
        <v>0.40529714473536788</v>
      </c>
      <c r="T58" s="318">
        <f>'Mode Operating Assumptions'!R29</f>
        <v>0.40645192276611369</v>
      </c>
      <c r="U58" s="318">
        <f>'Mode Operating Assumptions'!S29</f>
        <v>0.40761501423047014</v>
      </c>
      <c r="V58" s="318">
        <f>'Mode Operating Assumptions'!T29</f>
        <v>0.40878650922738302</v>
      </c>
      <c r="W58" s="318">
        <f>'Mode Operating Assumptions'!U29</f>
        <v>0.40996649916247907</v>
      </c>
      <c r="X58" s="318">
        <f>'Mode Operating Assumptions'!V29</f>
        <v>0.41115507677183999</v>
      </c>
      <c r="Y58" s="318">
        <f>'Mode Operating Assumptions'!W29</f>
        <v>0.41235233614629774</v>
      </c>
      <c r="Z58" s="318">
        <f>'Mode Operating Assumptions'!X29</f>
        <v>0.41355837275626389</v>
      </c>
      <c r="AA58" s="318">
        <f>'Mode Operating Assumptions'!Y29</f>
        <v>0.41477328347710757</v>
      </c>
      <c r="AB58" s="318">
        <f>'Mode Operating Assumptions'!Z29</f>
        <v>0.415997166615095</v>
      </c>
      <c r="AC58" s="321">
        <f>'Mode Operating Assumptions'!AA29</f>
        <v>0.41723012193390652</v>
      </c>
      <c r="AD58" s="368">
        <f t="shared" si="0"/>
        <v>9.6905878298649686</v>
      </c>
    </row>
    <row r="59" spans="1:30" s="53" customFormat="1" ht="12">
      <c r="A59" s="44"/>
      <c r="B59" s="70"/>
      <c r="C59" s="243" t="s">
        <v>420</v>
      </c>
      <c r="D59" s="266">
        <f>'Mode Operating Assumptions'!C152</f>
        <v>0.38127571701364549</v>
      </c>
      <c r="E59" s="236"/>
      <c r="F59" s="45"/>
      <c r="G59" s="45"/>
      <c r="H59" s="45"/>
      <c r="I59" s="45"/>
      <c r="J59" s="45"/>
      <c r="K59" s="45"/>
      <c r="L59" s="45"/>
      <c r="M59" s="45"/>
      <c r="N59" s="45"/>
      <c r="O59" s="45"/>
      <c r="P59" s="45"/>
      <c r="Q59" s="45"/>
      <c r="R59" s="45"/>
      <c r="S59" s="45"/>
      <c r="T59" s="45"/>
      <c r="U59" s="45"/>
      <c r="V59" s="45"/>
      <c r="W59" s="45"/>
      <c r="X59" s="45"/>
      <c r="Y59" s="45"/>
      <c r="Z59" s="45"/>
      <c r="AA59" s="45"/>
      <c r="AB59" s="45"/>
      <c r="AC59" s="283"/>
      <c r="AD59" s="361">
        <f t="shared" si="0"/>
        <v>0</v>
      </c>
    </row>
    <row r="60" spans="1:30" s="53" customFormat="1" ht="12">
      <c r="A60" s="44"/>
      <c r="B60" s="70"/>
      <c r="C60" s="243" t="s">
        <v>421</v>
      </c>
      <c r="D60" s="266">
        <f>'Mode Operating Assumptions'!C52</f>
        <v>0.234375</v>
      </c>
      <c r="E60" s="236"/>
      <c r="F60" s="45"/>
      <c r="G60" s="45"/>
      <c r="H60" s="45"/>
      <c r="I60" s="45"/>
      <c r="J60" s="45"/>
      <c r="K60" s="45"/>
      <c r="L60" s="45"/>
      <c r="M60" s="45"/>
      <c r="N60" s="45"/>
      <c r="O60" s="45"/>
      <c r="P60" s="45"/>
      <c r="Q60" s="45"/>
      <c r="R60" s="45"/>
      <c r="S60" s="45"/>
      <c r="T60" s="45"/>
      <c r="U60" s="45"/>
      <c r="V60" s="45"/>
      <c r="W60" s="45"/>
      <c r="X60" s="45"/>
      <c r="Y60" s="45"/>
      <c r="Z60" s="45"/>
      <c r="AA60" s="45"/>
      <c r="AB60" s="45"/>
      <c r="AC60" s="283"/>
      <c r="AD60" s="361">
        <f t="shared" si="0"/>
        <v>0</v>
      </c>
    </row>
    <row r="61" spans="1:30" s="53" customFormat="1" ht="12">
      <c r="A61" s="44"/>
      <c r="C61" s="243" t="s">
        <v>400</v>
      </c>
      <c r="D61" s="273">
        <v>13.91</v>
      </c>
      <c r="E61" s="236"/>
      <c r="F61" s="45"/>
      <c r="G61" s="45"/>
      <c r="H61" s="45"/>
      <c r="I61" s="45"/>
      <c r="J61" s="45"/>
      <c r="K61" s="45"/>
      <c r="L61" s="45"/>
      <c r="M61" s="45"/>
      <c r="N61" s="45"/>
      <c r="O61" s="45"/>
      <c r="P61" s="45"/>
      <c r="Q61" s="45"/>
      <c r="R61" s="45"/>
      <c r="S61" s="45"/>
      <c r="T61" s="45"/>
      <c r="U61" s="45"/>
      <c r="V61" s="45"/>
      <c r="W61" s="45"/>
      <c r="X61" s="45"/>
      <c r="Y61" s="45"/>
      <c r="Z61" s="45"/>
      <c r="AA61" s="45"/>
      <c r="AB61" s="45"/>
      <c r="AC61" s="283"/>
      <c r="AD61" s="361">
        <f t="shared" si="0"/>
        <v>0</v>
      </c>
    </row>
    <row r="62" spans="1:30" s="53" customFormat="1" ht="12">
      <c r="A62" s="44"/>
      <c r="B62" s="70"/>
      <c r="C62" s="243" t="s">
        <v>401</v>
      </c>
      <c r="D62" s="273">
        <v>13.91</v>
      </c>
      <c r="E62" s="236"/>
      <c r="F62" s="45"/>
      <c r="G62" s="45"/>
      <c r="H62" s="45"/>
      <c r="I62" s="45"/>
      <c r="J62" s="45"/>
      <c r="K62" s="45"/>
      <c r="L62" s="45"/>
      <c r="M62" s="45"/>
      <c r="N62" s="45"/>
      <c r="O62" s="45"/>
      <c r="P62" s="45"/>
      <c r="Q62" s="45"/>
      <c r="R62" s="45"/>
      <c r="S62" s="45"/>
      <c r="T62" s="45"/>
      <c r="U62" s="45"/>
      <c r="V62" s="45"/>
      <c r="W62" s="45"/>
      <c r="X62" s="45"/>
      <c r="Y62" s="45"/>
      <c r="Z62" s="45"/>
      <c r="AA62" s="45"/>
      <c r="AB62" s="45"/>
      <c r="AC62" s="283"/>
      <c r="AD62" s="361">
        <f t="shared" si="0"/>
        <v>0</v>
      </c>
    </row>
    <row r="63" spans="1:30" s="53" customFormat="1" ht="12">
      <c r="A63" s="44"/>
      <c r="B63" s="70"/>
      <c r="C63" s="243" t="s">
        <v>419</v>
      </c>
      <c r="D63" s="273">
        <f>D53</f>
        <v>26.21</v>
      </c>
      <c r="E63" s="236"/>
      <c r="F63" s="45"/>
      <c r="G63" s="45"/>
      <c r="H63" s="45"/>
      <c r="I63" s="45"/>
      <c r="J63" s="45"/>
      <c r="K63" s="45"/>
      <c r="L63" s="45"/>
      <c r="M63" s="45"/>
      <c r="N63" s="45"/>
      <c r="O63" s="45"/>
      <c r="P63" s="45"/>
      <c r="Q63" s="45"/>
      <c r="R63" s="45"/>
      <c r="S63" s="45"/>
      <c r="T63" s="45"/>
      <c r="U63" s="45"/>
      <c r="V63" s="45"/>
      <c r="W63" s="45"/>
      <c r="X63" s="45"/>
      <c r="Y63" s="45"/>
      <c r="Z63" s="45"/>
      <c r="AA63" s="45"/>
      <c r="AB63" s="45"/>
      <c r="AC63" s="283"/>
      <c r="AD63" s="361">
        <f t="shared" si="0"/>
        <v>0</v>
      </c>
    </row>
    <row r="64" spans="1:30" s="53" customFormat="1" ht="12">
      <c r="A64" s="44"/>
      <c r="B64" s="70"/>
      <c r="C64" s="78" t="s">
        <v>416</v>
      </c>
      <c r="D64" s="273"/>
      <c r="E64" s="236"/>
      <c r="F64" s="275">
        <f>+(F58*$D$61)-($D$59*$D$62)-($D$60*$D$63)</f>
        <v>-6.0076650554081157</v>
      </c>
      <c r="G64" s="275">
        <f>+(G58*$D$61)-($D$59*$D$62)-($D$60*$D$63)</f>
        <v>-5.9929990728725828</v>
      </c>
      <c r="H64" s="275">
        <f t="shared" ref="H64:AC64" si="3">+(H58*$D$61)-($D$59*$D$62)-($D$60*$D$63)</f>
        <v>-5.9782322273953099</v>
      </c>
      <c r="I64" s="275">
        <f t="shared" si="3"/>
        <v>-5.9633634748829563</v>
      </c>
      <c r="J64" s="275">
        <f t="shared" si="3"/>
        <v>-5.9483917567815627</v>
      </c>
      <c r="K64" s="275">
        <f t="shared" si="3"/>
        <v>-5.9333159998253358</v>
      </c>
      <c r="L64" s="275">
        <f t="shared" si="3"/>
        <v>-5.9181351157801645</v>
      </c>
      <c r="M64" s="275">
        <f t="shared" si="3"/>
        <v>-5.9028480011817726</v>
      </c>
      <c r="N64" s="275">
        <f t="shared" si="3"/>
        <v>-5.8874535370683425</v>
      </c>
      <c r="O64" s="275">
        <f t="shared" si="3"/>
        <v>-5.8719505887074863</v>
      </c>
      <c r="P64" s="275">
        <f t="shared" si="3"/>
        <v>-5.8563380053174274</v>
      </c>
      <c r="Q64" s="275">
        <f t="shared" si="3"/>
        <v>-5.8406146197822455</v>
      </c>
      <c r="R64" s="275">
        <f t="shared" si="3"/>
        <v>-5.8247792483610379</v>
      </c>
      <c r="S64" s="275">
        <f t="shared" si="3"/>
        <v>-5.8088306903908418</v>
      </c>
      <c r="T64" s="275">
        <f t="shared" si="3"/>
        <v>-5.7927677279831675</v>
      </c>
      <c r="U64" s="275">
        <f t="shared" si="3"/>
        <v>-5.7765891257139694</v>
      </c>
      <c r="V64" s="275">
        <f t="shared" si="3"/>
        <v>-5.7602936303069114</v>
      </c>
      <c r="W64" s="275">
        <f t="shared" si="3"/>
        <v>-5.7438799703097256</v>
      </c>
      <c r="X64" s="275">
        <f t="shared" si="3"/>
        <v>-5.727346855763515</v>
      </c>
      <c r="Y64" s="275">
        <f t="shared" si="3"/>
        <v>-5.7106929778648077</v>
      </c>
      <c r="Z64" s="275">
        <f t="shared" si="3"/>
        <v>-5.6939170086201782</v>
      </c>
      <c r="AA64" s="275">
        <f t="shared" si="3"/>
        <v>-5.6770176004932429</v>
      </c>
      <c r="AB64" s="275">
        <f t="shared" si="3"/>
        <v>-5.6599933860438378</v>
      </c>
      <c r="AC64" s="288">
        <f t="shared" si="3"/>
        <v>-5.6428429775591695</v>
      </c>
      <c r="AD64" s="369">
        <f t="shared" si="0"/>
        <v>-139.92025865441371</v>
      </c>
    </row>
    <row r="65" spans="1:30" s="53" customFormat="1" ht="12">
      <c r="A65" s="44"/>
      <c r="B65" s="70"/>
      <c r="D65" s="273"/>
      <c r="E65" s="236"/>
      <c r="F65" s="275">
        <f>F64*F56</f>
        <v>0</v>
      </c>
      <c r="G65" s="275">
        <f t="shared" ref="G65:AC65" si="4">G64*G56</f>
        <v>0</v>
      </c>
      <c r="H65" s="275">
        <f t="shared" si="4"/>
        <v>-218684.53447429693</v>
      </c>
      <c r="I65" s="275">
        <f t="shared" si="4"/>
        <v>-216622.37487822838</v>
      </c>
      <c r="J65" s="275">
        <f t="shared" si="4"/>
        <v>-214564.0723172061</v>
      </c>
      <c r="K65" s="275">
        <f t="shared" si="4"/>
        <v>-212509.66699518394</v>
      </c>
      <c r="L65" s="275">
        <f t="shared" si="4"/>
        <v>-210459.1996768206</v>
      </c>
      <c r="M65" s="275">
        <f t="shared" si="4"/>
        <v>-208412.71169728841</v>
      </c>
      <c r="N65" s="275">
        <f t="shared" si="4"/>
        <v>-206370.24497228969</v>
      </c>
      <c r="O65" s="275">
        <f t="shared" si="4"/>
        <v>-208862.44517953199</v>
      </c>
      <c r="P65" s="275">
        <f t="shared" si="4"/>
        <v>-211334.65994785397</v>
      </c>
      <c r="Q65" s="275">
        <f t="shared" si="4"/>
        <v>-213786.6765229553</v>
      </c>
      <c r="R65" s="275">
        <f t="shared" si="4"/>
        <v>-216218.27911995695</v>
      </c>
      <c r="S65" s="275">
        <f t="shared" si="4"/>
        <v>-218629.24886924686</v>
      </c>
      <c r="T65" s="275">
        <f t="shared" si="4"/>
        <v>-221019.36376116067</v>
      </c>
      <c r="U65" s="275">
        <f t="shared" si="4"/>
        <v>-223388.3985894669</v>
      </c>
      <c r="V65" s="275">
        <f t="shared" si="4"/>
        <v>-225736.12489362797</v>
      </c>
      <c r="W65" s="275">
        <f t="shared" si="4"/>
        <v>-228062.31089980472</v>
      </c>
      <c r="X65" s="275">
        <f t="shared" si="4"/>
        <v>-230366.72146057276</v>
      </c>
      <c r="Y65" s="275">
        <f t="shared" si="4"/>
        <v>-232649.11799331816</v>
      </c>
      <c r="Z65" s="275">
        <f t="shared" si="4"/>
        <v>-234909.25841727815</v>
      </c>
      <c r="AA65" s="275">
        <f t="shared" si="4"/>
        <v>-237146.89708919165</v>
      </c>
      <c r="AB65" s="275">
        <f t="shared" si="4"/>
        <v>-239361.7847375253</v>
      </c>
      <c r="AC65" s="288">
        <f t="shared" si="4"/>
        <v>-241553.66839523459</v>
      </c>
      <c r="AD65" s="369">
        <f t="shared" ref="AD65:AD128" si="5">SUM(F65:AC65)</f>
        <v>-4870647.7608880391</v>
      </c>
    </row>
    <row r="66" spans="1:30" s="53" customFormat="1" ht="12">
      <c r="A66" s="44"/>
      <c r="B66" s="70"/>
      <c r="C66" s="62" t="s">
        <v>429</v>
      </c>
      <c r="D66" s="229"/>
      <c r="E66" s="236"/>
      <c r="F66" s="309">
        <f>F65</f>
        <v>0</v>
      </c>
      <c r="G66" s="309">
        <f t="shared" ref="G66:AC66" si="6">G65</f>
        <v>0</v>
      </c>
      <c r="H66" s="309">
        <f t="shared" si="6"/>
        <v>-218684.53447429693</v>
      </c>
      <c r="I66" s="309">
        <f t="shared" si="6"/>
        <v>-216622.37487822838</v>
      </c>
      <c r="J66" s="309">
        <f t="shared" si="6"/>
        <v>-214564.0723172061</v>
      </c>
      <c r="K66" s="309">
        <f t="shared" si="6"/>
        <v>-212509.66699518394</v>
      </c>
      <c r="L66" s="309">
        <f t="shared" si="6"/>
        <v>-210459.1996768206</v>
      </c>
      <c r="M66" s="309">
        <f t="shared" si="6"/>
        <v>-208412.71169728841</v>
      </c>
      <c r="N66" s="309">
        <f t="shared" si="6"/>
        <v>-206370.24497228969</v>
      </c>
      <c r="O66" s="309">
        <f t="shared" si="6"/>
        <v>-208862.44517953199</v>
      </c>
      <c r="P66" s="309">
        <f t="shared" si="6"/>
        <v>-211334.65994785397</v>
      </c>
      <c r="Q66" s="309">
        <f t="shared" si="6"/>
        <v>-213786.6765229553</v>
      </c>
      <c r="R66" s="309">
        <f t="shared" si="6"/>
        <v>-216218.27911995695</v>
      </c>
      <c r="S66" s="309">
        <f t="shared" si="6"/>
        <v>-218629.24886924686</v>
      </c>
      <c r="T66" s="309">
        <f t="shared" si="6"/>
        <v>-221019.36376116067</v>
      </c>
      <c r="U66" s="309">
        <f t="shared" si="6"/>
        <v>-223388.3985894669</v>
      </c>
      <c r="V66" s="309">
        <f t="shared" si="6"/>
        <v>-225736.12489362797</v>
      </c>
      <c r="W66" s="309">
        <f t="shared" si="6"/>
        <v>-228062.31089980472</v>
      </c>
      <c r="X66" s="309">
        <f t="shared" si="6"/>
        <v>-230366.72146057276</v>
      </c>
      <c r="Y66" s="309">
        <f t="shared" si="6"/>
        <v>-232649.11799331816</v>
      </c>
      <c r="Z66" s="309">
        <f t="shared" si="6"/>
        <v>-234909.25841727815</v>
      </c>
      <c r="AA66" s="309">
        <f t="shared" si="6"/>
        <v>-237146.89708919165</v>
      </c>
      <c r="AB66" s="309">
        <f t="shared" si="6"/>
        <v>-239361.7847375253</v>
      </c>
      <c r="AC66" s="340">
        <f t="shared" si="6"/>
        <v>-241553.66839523459</v>
      </c>
      <c r="AD66" s="370">
        <f t="shared" si="5"/>
        <v>-4870647.7608880391</v>
      </c>
    </row>
    <row r="67" spans="1:30" s="53" customFormat="1" ht="12">
      <c r="A67" s="44"/>
      <c r="B67" s="70"/>
      <c r="D67" s="229"/>
      <c r="E67" s="236"/>
      <c r="F67" s="252"/>
      <c r="G67" s="252"/>
      <c r="H67" s="252"/>
      <c r="I67" s="252"/>
      <c r="J67" s="252"/>
      <c r="K67" s="252"/>
      <c r="L67" s="252"/>
      <c r="M67" s="252"/>
      <c r="N67" s="252"/>
      <c r="O67" s="252"/>
      <c r="P67" s="252"/>
      <c r="Q67" s="252"/>
      <c r="R67" s="252"/>
      <c r="S67" s="252"/>
      <c r="T67" s="252"/>
      <c r="U67" s="252"/>
      <c r="V67" s="252"/>
      <c r="W67" s="252"/>
      <c r="X67" s="252"/>
      <c r="Y67" s="252"/>
      <c r="Z67" s="252"/>
      <c r="AA67" s="252"/>
      <c r="AB67" s="252"/>
      <c r="AC67" s="286"/>
      <c r="AD67" s="371">
        <f t="shared" si="5"/>
        <v>0</v>
      </c>
    </row>
    <row r="68" spans="1:30" s="53" customFormat="1" ht="12">
      <c r="A68" s="44"/>
      <c r="B68" s="70"/>
      <c r="C68" s="63" t="s">
        <v>149</v>
      </c>
      <c r="D68" s="229"/>
      <c r="E68" s="236"/>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86"/>
      <c r="AD68" s="371">
        <f t="shared" si="5"/>
        <v>0</v>
      </c>
    </row>
    <row r="69" spans="1:30" s="53" customFormat="1" ht="12">
      <c r="A69" s="44"/>
      <c r="B69" s="70"/>
      <c r="C69" s="243" t="s">
        <v>488</v>
      </c>
      <c r="D69" s="273">
        <f>'Mode Operating Assumptions'!C33</f>
        <v>8.1905000000000001</v>
      </c>
      <c r="E69" s="236"/>
      <c r="F69" s="252"/>
      <c r="G69" s="252"/>
      <c r="H69" s="252"/>
      <c r="I69" s="252"/>
      <c r="J69" s="252"/>
      <c r="K69" s="252"/>
      <c r="L69" s="252"/>
      <c r="M69" s="252"/>
      <c r="N69" s="252"/>
      <c r="O69" s="252"/>
      <c r="P69" s="252"/>
      <c r="Q69" s="252"/>
      <c r="R69" s="252"/>
      <c r="S69" s="252"/>
      <c r="T69" s="252"/>
      <c r="U69" s="252"/>
      <c r="V69" s="252"/>
      <c r="W69" s="252"/>
      <c r="X69" s="252"/>
      <c r="Y69" s="252"/>
      <c r="Z69" s="252"/>
      <c r="AA69" s="252"/>
      <c r="AB69" s="252"/>
      <c r="AC69" s="286"/>
      <c r="AD69" s="371">
        <f t="shared" si="5"/>
        <v>0</v>
      </c>
    </row>
    <row r="70" spans="1:30" s="53" customFormat="1" ht="12">
      <c r="A70" s="44"/>
      <c r="B70" s="70"/>
      <c r="C70" s="244" t="s">
        <v>477</v>
      </c>
      <c r="D70" s="273">
        <f>'Mode Operating Assumptions'!C155</f>
        <v>2.107407271835358</v>
      </c>
      <c r="E70" s="236"/>
      <c r="F70" s="252"/>
      <c r="G70" s="252"/>
      <c r="H70" s="252"/>
      <c r="I70" s="252"/>
      <c r="J70" s="252"/>
      <c r="K70" s="252"/>
      <c r="L70" s="252"/>
      <c r="M70" s="252"/>
      <c r="N70" s="252"/>
      <c r="O70" s="252"/>
      <c r="P70" s="252"/>
      <c r="Q70" s="252"/>
      <c r="R70" s="252"/>
      <c r="S70" s="252"/>
      <c r="T70" s="252"/>
      <c r="U70" s="252"/>
      <c r="V70" s="252"/>
      <c r="W70" s="252"/>
      <c r="X70" s="252"/>
      <c r="Y70" s="252"/>
      <c r="Z70" s="252"/>
      <c r="AA70" s="252"/>
      <c r="AB70" s="252"/>
      <c r="AC70" s="286"/>
      <c r="AD70" s="371">
        <f t="shared" si="5"/>
        <v>0</v>
      </c>
    </row>
    <row r="71" spans="1:30" s="53" customFormat="1" ht="12">
      <c r="A71" s="44"/>
      <c r="B71" s="70"/>
      <c r="C71" s="243" t="s">
        <v>489</v>
      </c>
      <c r="D71" s="273">
        <v>0.05</v>
      </c>
      <c r="E71" s="236"/>
      <c r="F71" s="252"/>
      <c r="G71" s="252"/>
      <c r="H71" s="252"/>
      <c r="I71" s="252"/>
      <c r="J71" s="252"/>
      <c r="K71" s="252"/>
      <c r="L71" s="252"/>
      <c r="M71" s="252"/>
      <c r="N71" s="252"/>
      <c r="O71" s="252"/>
      <c r="P71" s="252"/>
      <c r="Q71" s="252"/>
      <c r="R71" s="252"/>
      <c r="S71" s="252"/>
      <c r="T71" s="252"/>
      <c r="U71" s="252"/>
      <c r="V71" s="252"/>
      <c r="W71" s="252"/>
      <c r="X71" s="252"/>
      <c r="Y71" s="252"/>
      <c r="Z71" s="252"/>
      <c r="AA71" s="252"/>
      <c r="AB71" s="252"/>
      <c r="AC71" s="286"/>
      <c r="AD71" s="371">
        <f t="shared" si="5"/>
        <v>0</v>
      </c>
    </row>
    <row r="72" spans="1:30" s="53" customFormat="1" ht="12">
      <c r="A72" s="44"/>
      <c r="B72" s="70"/>
      <c r="C72" s="78" t="s">
        <v>490</v>
      </c>
      <c r="D72" s="273">
        <f>+D69-D70-D71</f>
        <v>6.0330927281646423</v>
      </c>
      <c r="E72" s="236"/>
      <c r="F72" s="275">
        <f t="shared" ref="F72:AC72" si="7">$D72*F56</f>
        <v>0</v>
      </c>
      <c r="G72" s="275">
        <f t="shared" si="7"/>
        <v>0</v>
      </c>
      <c r="H72" s="275">
        <f t="shared" si="7"/>
        <v>220691.33893010099</v>
      </c>
      <c r="I72" s="275">
        <f t="shared" si="7"/>
        <v>219155.32738195965</v>
      </c>
      <c r="J72" s="275">
        <f t="shared" si="7"/>
        <v>217619.31583381834</v>
      </c>
      <c r="K72" s="275">
        <f t="shared" si="7"/>
        <v>216083.304285677</v>
      </c>
      <c r="L72" s="275">
        <f t="shared" si="7"/>
        <v>214547.29273753572</v>
      </c>
      <c r="M72" s="275">
        <f t="shared" si="7"/>
        <v>213011.28118939433</v>
      </c>
      <c r="N72" s="275">
        <f t="shared" si="7"/>
        <v>211475.26964125305</v>
      </c>
      <c r="O72" s="275">
        <f t="shared" si="7"/>
        <v>214594.19321794508</v>
      </c>
      <c r="P72" s="275">
        <f t="shared" si="7"/>
        <v>217713.11679463714</v>
      </c>
      <c r="Q72" s="275">
        <f t="shared" si="7"/>
        <v>220832.04037132917</v>
      </c>
      <c r="R72" s="275">
        <f t="shared" si="7"/>
        <v>223950.96394802126</v>
      </c>
      <c r="S72" s="275">
        <f t="shared" si="7"/>
        <v>227069.88752471327</v>
      </c>
      <c r="T72" s="275">
        <f t="shared" si="7"/>
        <v>230188.81110140533</v>
      </c>
      <c r="U72" s="275">
        <f t="shared" si="7"/>
        <v>233307.73467809742</v>
      </c>
      <c r="V72" s="275">
        <f t="shared" si="7"/>
        <v>236426.65825478942</v>
      </c>
      <c r="W72" s="275">
        <f t="shared" si="7"/>
        <v>239545.58183148145</v>
      </c>
      <c r="X72" s="275">
        <f t="shared" si="7"/>
        <v>242664.50540817354</v>
      </c>
      <c r="Y72" s="275">
        <f t="shared" si="7"/>
        <v>245783.4289848656</v>
      </c>
      <c r="Z72" s="275">
        <f t="shared" si="7"/>
        <v>248902.35256155769</v>
      </c>
      <c r="AA72" s="275">
        <f t="shared" si="7"/>
        <v>252021.27613824964</v>
      </c>
      <c r="AB72" s="275">
        <f t="shared" si="7"/>
        <v>255140.19971494179</v>
      </c>
      <c r="AC72" s="288">
        <f t="shared" si="7"/>
        <v>258259.12329163373</v>
      </c>
      <c r="AD72" s="369">
        <f t="shared" si="5"/>
        <v>5058983.0038215807</v>
      </c>
    </row>
    <row r="73" spans="1:30" s="53" customFormat="1" ht="12">
      <c r="A73" s="44"/>
      <c r="B73" s="70"/>
      <c r="C73" s="62" t="s">
        <v>430</v>
      </c>
      <c r="D73" s="229"/>
      <c r="E73" s="236"/>
      <c r="F73" s="309">
        <f>F72</f>
        <v>0</v>
      </c>
      <c r="G73" s="309">
        <f t="shared" ref="G73:AC73" si="8">G72</f>
        <v>0</v>
      </c>
      <c r="H73" s="309">
        <f t="shared" si="8"/>
        <v>220691.33893010099</v>
      </c>
      <c r="I73" s="309">
        <f t="shared" si="8"/>
        <v>219155.32738195965</v>
      </c>
      <c r="J73" s="309">
        <f t="shared" si="8"/>
        <v>217619.31583381834</v>
      </c>
      <c r="K73" s="309">
        <f t="shared" si="8"/>
        <v>216083.304285677</v>
      </c>
      <c r="L73" s="309">
        <f t="shared" si="8"/>
        <v>214547.29273753572</v>
      </c>
      <c r="M73" s="309">
        <f t="shared" si="8"/>
        <v>213011.28118939433</v>
      </c>
      <c r="N73" s="309">
        <f t="shared" si="8"/>
        <v>211475.26964125305</v>
      </c>
      <c r="O73" s="309">
        <f t="shared" si="8"/>
        <v>214594.19321794508</v>
      </c>
      <c r="P73" s="309">
        <f t="shared" si="8"/>
        <v>217713.11679463714</v>
      </c>
      <c r="Q73" s="309">
        <f t="shared" si="8"/>
        <v>220832.04037132917</v>
      </c>
      <c r="R73" s="309">
        <f t="shared" si="8"/>
        <v>223950.96394802126</v>
      </c>
      <c r="S73" s="309">
        <f t="shared" si="8"/>
        <v>227069.88752471327</v>
      </c>
      <c r="T73" s="309">
        <f t="shared" si="8"/>
        <v>230188.81110140533</v>
      </c>
      <c r="U73" s="309">
        <f t="shared" si="8"/>
        <v>233307.73467809742</v>
      </c>
      <c r="V73" s="309">
        <f t="shared" si="8"/>
        <v>236426.65825478942</v>
      </c>
      <c r="W73" s="309">
        <f t="shared" si="8"/>
        <v>239545.58183148145</v>
      </c>
      <c r="X73" s="309">
        <f t="shared" si="8"/>
        <v>242664.50540817354</v>
      </c>
      <c r="Y73" s="309">
        <f t="shared" si="8"/>
        <v>245783.4289848656</v>
      </c>
      <c r="Z73" s="309">
        <f t="shared" si="8"/>
        <v>248902.35256155769</v>
      </c>
      <c r="AA73" s="309">
        <f t="shared" si="8"/>
        <v>252021.27613824964</v>
      </c>
      <c r="AB73" s="309">
        <f t="shared" si="8"/>
        <v>255140.19971494179</v>
      </c>
      <c r="AC73" s="340">
        <f t="shared" si="8"/>
        <v>258259.12329163373</v>
      </c>
      <c r="AD73" s="370">
        <f t="shared" si="5"/>
        <v>5058983.0038215807</v>
      </c>
    </row>
    <row r="74" spans="1:30" s="53" customFormat="1" ht="12">
      <c r="A74" s="44"/>
      <c r="B74" s="70"/>
      <c r="C74" s="110"/>
      <c r="D74" s="229"/>
      <c r="E74" s="236"/>
      <c r="F74" s="45"/>
      <c r="G74" s="62"/>
      <c r="H74" s="59"/>
      <c r="I74" s="59"/>
      <c r="J74" s="59"/>
      <c r="K74" s="59"/>
      <c r="L74" s="59"/>
      <c r="M74" s="59"/>
      <c r="N74" s="59"/>
      <c r="O74" s="59"/>
      <c r="P74" s="59"/>
      <c r="Q74" s="59"/>
      <c r="R74" s="59"/>
      <c r="S74" s="59"/>
      <c r="T74" s="59"/>
      <c r="U74" s="59"/>
      <c r="V74" s="59"/>
      <c r="W74" s="59"/>
      <c r="X74" s="59"/>
      <c r="Y74" s="59"/>
      <c r="AC74" s="283"/>
      <c r="AD74" s="361">
        <f t="shared" si="5"/>
        <v>0</v>
      </c>
    </row>
    <row r="75" spans="1:30" s="53" customFormat="1" ht="12">
      <c r="A75" s="44"/>
      <c r="B75" s="5" t="s">
        <v>277</v>
      </c>
      <c r="C75" s="55"/>
      <c r="D75" s="229"/>
      <c r="E75" s="236"/>
      <c r="F75" s="45"/>
      <c r="G75" s="59"/>
      <c r="H75" s="59"/>
      <c r="I75" s="59"/>
      <c r="J75" s="59"/>
      <c r="K75" s="59"/>
      <c r="L75" s="59"/>
      <c r="M75" s="59"/>
      <c r="N75" s="59"/>
      <c r="O75" s="59"/>
      <c r="P75" s="59"/>
      <c r="Q75" s="59"/>
      <c r="R75" s="59"/>
      <c r="S75" s="59"/>
      <c r="T75" s="59"/>
      <c r="U75" s="59"/>
      <c r="V75" s="59"/>
      <c r="W75" s="59"/>
      <c r="X75" s="59"/>
      <c r="Y75" s="59"/>
      <c r="AC75" s="283"/>
      <c r="AD75" s="361">
        <f t="shared" si="5"/>
        <v>0</v>
      </c>
    </row>
    <row r="76" spans="1:30" s="53" customFormat="1" ht="12">
      <c r="A76" s="44"/>
      <c r="B76" s="70" t="s">
        <v>463</v>
      </c>
      <c r="C76" s="70" t="s">
        <v>366</v>
      </c>
      <c r="D76" s="229"/>
      <c r="E76" s="236"/>
      <c r="F76" s="45"/>
      <c r="G76" s="59"/>
      <c r="H76" s="59"/>
      <c r="I76" s="59"/>
      <c r="J76" s="59"/>
      <c r="K76" s="59"/>
      <c r="L76" s="59"/>
      <c r="M76" s="59"/>
      <c r="N76" s="59"/>
      <c r="O76" s="59"/>
      <c r="P76" s="59"/>
      <c r="Q76" s="59"/>
      <c r="R76" s="59"/>
      <c r="S76" s="59"/>
      <c r="T76" s="59"/>
      <c r="U76" s="59"/>
      <c r="V76" s="59"/>
      <c r="W76" s="59"/>
      <c r="X76" s="59"/>
      <c r="Y76" s="59"/>
      <c r="AC76" s="283"/>
      <c r="AD76" s="361">
        <f t="shared" si="5"/>
        <v>0</v>
      </c>
    </row>
    <row r="77" spans="1:30" s="53" customFormat="1" ht="12">
      <c r="A77" s="44"/>
      <c r="C77" s="63" t="s">
        <v>131</v>
      </c>
      <c r="D77" s="229"/>
      <c r="E77" s="236"/>
      <c r="F77" s="45"/>
      <c r="G77" s="59"/>
      <c r="H77" s="59"/>
      <c r="I77" s="59"/>
      <c r="J77" s="59"/>
      <c r="K77" s="59"/>
      <c r="L77" s="59"/>
      <c r="M77" s="59"/>
      <c r="N77" s="59"/>
      <c r="O77" s="59"/>
      <c r="P77" s="59"/>
      <c r="Q77" s="59"/>
      <c r="R77" s="59"/>
      <c r="S77" s="59"/>
      <c r="T77" s="59"/>
      <c r="U77" s="59"/>
      <c r="V77" s="59"/>
      <c r="W77" s="59"/>
      <c r="X77" s="59"/>
      <c r="Y77" s="59"/>
      <c r="AC77" s="283"/>
      <c r="AD77" s="361">
        <f t="shared" si="5"/>
        <v>0</v>
      </c>
    </row>
    <row r="78" spans="1:30" s="53" customFormat="1" ht="12">
      <c r="A78" s="44"/>
      <c r="B78" s="70"/>
      <c r="C78" s="245" t="s">
        <v>625</v>
      </c>
      <c r="D78" s="267">
        <f>30/3600</f>
        <v>8.3333333333333332E-3</v>
      </c>
      <c r="E78" s="236"/>
      <c r="F78" s="45"/>
      <c r="G78" s="59"/>
      <c r="H78" s="59"/>
      <c r="I78" s="59"/>
      <c r="J78" s="59"/>
      <c r="K78" s="59"/>
      <c r="L78" s="59"/>
      <c r="M78" s="59"/>
      <c r="N78" s="59"/>
      <c r="O78" s="59"/>
      <c r="P78" s="59"/>
      <c r="Q78" s="59"/>
      <c r="R78" s="59"/>
      <c r="S78" s="59"/>
      <c r="T78" s="59"/>
      <c r="U78" s="59"/>
      <c r="V78" s="59"/>
      <c r="W78" s="59"/>
      <c r="X78" s="59"/>
      <c r="Y78" s="59"/>
      <c r="AC78" s="283"/>
      <c r="AD78" s="361">
        <f t="shared" si="5"/>
        <v>0</v>
      </c>
    </row>
    <row r="79" spans="1:30" s="53" customFormat="1" ht="12">
      <c r="A79" s="44"/>
      <c r="B79" s="70"/>
      <c r="C79" s="243" t="s">
        <v>438</v>
      </c>
      <c r="D79" s="242">
        <f>'Price Assumptions'!$B$3</f>
        <v>13.91</v>
      </c>
      <c r="E79" s="236"/>
      <c r="F79" s="45"/>
      <c r="G79" s="59"/>
      <c r="H79" s="59"/>
      <c r="I79" s="59"/>
      <c r="J79" s="59"/>
      <c r="K79" s="59"/>
      <c r="L79" s="59"/>
      <c r="M79" s="59"/>
      <c r="N79" s="59"/>
      <c r="O79" s="59"/>
      <c r="P79" s="59"/>
      <c r="Q79" s="59"/>
      <c r="R79" s="59"/>
      <c r="S79" s="59"/>
      <c r="T79" s="59"/>
      <c r="U79" s="59"/>
      <c r="V79" s="59"/>
      <c r="W79" s="59"/>
      <c r="X79" s="59"/>
      <c r="Y79" s="59"/>
      <c r="AC79" s="283"/>
      <c r="AD79" s="361">
        <f t="shared" si="5"/>
        <v>0</v>
      </c>
    </row>
    <row r="80" spans="1:30" s="53" customFormat="1" ht="12">
      <c r="A80" s="44"/>
      <c r="B80" s="70"/>
      <c r="C80" s="62" t="s">
        <v>429</v>
      </c>
      <c r="D80" s="229"/>
      <c r="E80" s="236"/>
      <c r="F80" s="305">
        <f>$D$78*$D$79*F15</f>
        <v>0</v>
      </c>
      <c r="G80" s="305">
        <f t="shared" ref="G80:AC80" si="9">$D$78*$D$79*G15</f>
        <v>0</v>
      </c>
      <c r="H80" s="305">
        <f t="shared" si="9"/>
        <v>4951.1089198554992</v>
      </c>
      <c r="I80" s="305">
        <f t="shared" si="9"/>
        <v>4916.6492056053967</v>
      </c>
      <c r="J80" s="305">
        <f t="shared" si="9"/>
        <v>4882.189491355296</v>
      </c>
      <c r="K80" s="305">
        <f t="shared" si="9"/>
        <v>4847.7297771051944</v>
      </c>
      <c r="L80" s="305">
        <f t="shared" si="9"/>
        <v>4813.2700628550938</v>
      </c>
      <c r="M80" s="305">
        <f t="shared" si="9"/>
        <v>4778.8103486049922</v>
      </c>
      <c r="N80" s="305">
        <f t="shared" si="9"/>
        <v>4744.3506343548906</v>
      </c>
      <c r="O80" s="305">
        <f t="shared" si="9"/>
        <v>4814.3222536117692</v>
      </c>
      <c r="P80" s="305">
        <f t="shared" si="9"/>
        <v>4884.2938728686458</v>
      </c>
      <c r="Q80" s="305">
        <f t="shared" si="9"/>
        <v>4954.2654921255244</v>
      </c>
      <c r="R80" s="305">
        <f t="shared" si="9"/>
        <v>5024.237111382402</v>
      </c>
      <c r="S80" s="305">
        <f t="shared" si="9"/>
        <v>5094.2087306392787</v>
      </c>
      <c r="T80" s="305">
        <f t="shared" si="9"/>
        <v>5164.1803498961572</v>
      </c>
      <c r="U80" s="305">
        <f t="shared" si="9"/>
        <v>5234.1519691530357</v>
      </c>
      <c r="V80" s="305">
        <f t="shared" si="9"/>
        <v>5304.1235884099142</v>
      </c>
      <c r="W80" s="305">
        <f t="shared" si="9"/>
        <v>5374.0952076667918</v>
      </c>
      <c r="X80" s="305">
        <f t="shared" si="9"/>
        <v>5444.0668269236703</v>
      </c>
      <c r="Y80" s="305">
        <f t="shared" si="9"/>
        <v>5514.0384461805488</v>
      </c>
      <c r="Z80" s="305">
        <f t="shared" si="9"/>
        <v>5584.0100654374246</v>
      </c>
      <c r="AA80" s="305">
        <f t="shared" si="9"/>
        <v>5653.9816846943022</v>
      </c>
      <c r="AB80" s="305">
        <f t="shared" si="9"/>
        <v>5723.9533039511816</v>
      </c>
      <c r="AC80" s="306">
        <f t="shared" si="9"/>
        <v>5793.9249232080592</v>
      </c>
      <c r="AD80" s="372">
        <f t="shared" si="5"/>
        <v>113495.96226588509</v>
      </c>
    </row>
    <row r="81" spans="1:30" s="53" customFormat="1" ht="12">
      <c r="A81" s="44"/>
      <c r="B81" s="70"/>
      <c r="D81" s="229"/>
      <c r="E81" s="236"/>
      <c r="F81" s="45"/>
      <c r="G81" s="59"/>
      <c r="H81" s="59"/>
      <c r="I81" s="59"/>
      <c r="J81" s="59"/>
      <c r="K81" s="59"/>
      <c r="L81" s="59"/>
      <c r="M81" s="59"/>
      <c r="N81" s="59"/>
      <c r="O81" s="59"/>
      <c r="P81" s="59"/>
      <c r="Q81" s="59"/>
      <c r="R81" s="59"/>
      <c r="S81" s="59"/>
      <c r="T81" s="59"/>
      <c r="U81" s="59"/>
      <c r="V81" s="59"/>
      <c r="W81" s="59"/>
      <c r="X81" s="59"/>
      <c r="Y81" s="59"/>
      <c r="AC81" s="283"/>
      <c r="AD81" s="361">
        <f t="shared" si="5"/>
        <v>0</v>
      </c>
    </row>
    <row r="82" spans="1:30" s="53" customFormat="1" ht="12">
      <c r="A82" s="44"/>
      <c r="B82" s="70"/>
      <c r="D82" s="229"/>
      <c r="E82" s="236"/>
      <c r="F82" s="45"/>
      <c r="G82" s="59"/>
      <c r="H82" s="59"/>
      <c r="I82" s="59"/>
      <c r="J82" s="59"/>
      <c r="K82" s="59"/>
      <c r="L82" s="59"/>
      <c r="M82" s="59"/>
      <c r="N82" s="59"/>
      <c r="O82" s="59"/>
      <c r="P82" s="59"/>
      <c r="Q82" s="59"/>
      <c r="R82" s="59"/>
      <c r="S82" s="59"/>
      <c r="T82" s="59"/>
      <c r="U82" s="59"/>
      <c r="V82" s="59"/>
      <c r="W82" s="59"/>
      <c r="X82" s="59"/>
      <c r="Y82" s="59"/>
      <c r="AC82" s="283"/>
      <c r="AD82" s="361">
        <f t="shared" si="5"/>
        <v>0</v>
      </c>
    </row>
    <row r="83" spans="1:30" s="53" customFormat="1" ht="12">
      <c r="A83" s="44"/>
      <c r="B83" s="270" t="s">
        <v>462</v>
      </c>
      <c r="C83" s="54" t="s">
        <v>426</v>
      </c>
      <c r="D83" s="229"/>
      <c r="E83" s="236"/>
      <c r="F83" s="45">
        <f>F16</f>
        <v>0</v>
      </c>
      <c r="G83" s="45">
        <f t="shared" ref="G83:AC83" si="10">G16</f>
        <v>0</v>
      </c>
      <c r="H83" s="45">
        <f t="shared" si="10"/>
        <v>1281.3797348296043</v>
      </c>
      <c r="I83" s="263">
        <f t="shared" si="10"/>
        <v>1272.4613328669609</v>
      </c>
      <c r="J83" s="263">
        <f t="shared" si="10"/>
        <v>1263.5429309043182</v>
      </c>
      <c r="K83" s="263">
        <f t="shared" si="10"/>
        <v>1254.624528941675</v>
      </c>
      <c r="L83" s="263">
        <f t="shared" si="10"/>
        <v>1245.706126979032</v>
      </c>
      <c r="M83" s="263">
        <f t="shared" si="10"/>
        <v>1236.787725016389</v>
      </c>
      <c r="N83" s="263">
        <f t="shared" si="10"/>
        <v>1227.8693230537458</v>
      </c>
      <c r="O83" s="263">
        <f t="shared" si="10"/>
        <v>1245.9784409059935</v>
      </c>
      <c r="P83" s="263">
        <f t="shared" si="10"/>
        <v>1264.0875587582404</v>
      </c>
      <c r="Q83" s="263">
        <f t="shared" si="10"/>
        <v>1282.1966766104879</v>
      </c>
      <c r="R83" s="263">
        <f t="shared" si="10"/>
        <v>1300.3057944627353</v>
      </c>
      <c r="S83" s="263">
        <f t="shared" si="10"/>
        <v>1318.4149123149823</v>
      </c>
      <c r="T83" s="263">
        <f t="shared" si="10"/>
        <v>1336.5240301672295</v>
      </c>
      <c r="U83" s="263">
        <f t="shared" si="10"/>
        <v>1354.6331480194772</v>
      </c>
      <c r="V83" s="263">
        <f t="shared" si="10"/>
        <v>1372.7422658717246</v>
      </c>
      <c r="W83" s="263">
        <f t="shared" si="10"/>
        <v>1390.8513837239718</v>
      </c>
      <c r="X83" s="263">
        <f t="shared" si="10"/>
        <v>1408.9605015762195</v>
      </c>
      <c r="Y83" s="263">
        <f t="shared" si="10"/>
        <v>1427.0696194284669</v>
      </c>
      <c r="Z83" s="263">
        <f t="shared" si="10"/>
        <v>1445.1787372807137</v>
      </c>
      <c r="AA83" s="263">
        <f t="shared" si="10"/>
        <v>1463.2878551329611</v>
      </c>
      <c r="AB83" s="263">
        <f t="shared" si="10"/>
        <v>1481.3969729852085</v>
      </c>
      <c r="AC83" s="285">
        <f t="shared" si="10"/>
        <v>1499.5060908374558</v>
      </c>
      <c r="AD83" s="363">
        <f t="shared" si="5"/>
        <v>29373.505690667596</v>
      </c>
    </row>
    <row r="84" spans="1:30" s="53" customFormat="1" ht="12">
      <c r="A84" s="44"/>
      <c r="B84" s="70"/>
      <c r="C84" s="63" t="s">
        <v>131</v>
      </c>
      <c r="D84" s="229"/>
      <c r="E84" s="236"/>
      <c r="F84" s="45"/>
      <c r="G84" s="313"/>
      <c r="H84" s="313"/>
      <c r="I84" s="313"/>
      <c r="J84" s="313"/>
      <c r="K84" s="313"/>
      <c r="L84" s="313"/>
      <c r="M84" s="313"/>
      <c r="N84" s="313"/>
      <c r="O84" s="313"/>
      <c r="P84" s="313"/>
      <c r="Q84" s="313"/>
      <c r="R84" s="313"/>
      <c r="S84" s="313"/>
      <c r="T84" s="313"/>
      <c r="U84" s="313"/>
      <c r="V84" s="313"/>
      <c r="W84" s="313"/>
      <c r="X84" s="313"/>
      <c r="Y84" s="313"/>
      <c r="Z84" s="45"/>
      <c r="AA84" s="45"/>
      <c r="AB84" s="45"/>
      <c r="AC84" s="283"/>
      <c r="AD84" s="361">
        <f t="shared" si="5"/>
        <v>0</v>
      </c>
    </row>
    <row r="85" spans="1:30" s="53" customFormat="1" ht="12">
      <c r="A85" s="44"/>
      <c r="B85" s="70"/>
      <c r="C85" s="243" t="s">
        <v>403</v>
      </c>
      <c r="D85" s="229"/>
      <c r="E85" s="236"/>
      <c r="F85" s="318">
        <f>F58</f>
        <v>0.39100279786137265</v>
      </c>
      <c r="G85" s="318">
        <f t="shared" ref="G85:AC85" si="11">G58</f>
        <v>0.39205714599476826</v>
      </c>
      <c r="H85" s="318">
        <f t="shared" si="11"/>
        <v>0.39311874523828177</v>
      </c>
      <c r="I85" s="318">
        <f t="shared" si="11"/>
        <v>0.39418767065254157</v>
      </c>
      <c r="J85" s="318">
        <f t="shared" si="11"/>
        <v>0.39526399833776032</v>
      </c>
      <c r="K85" s="318">
        <f t="shared" si="11"/>
        <v>0.39634780545179538</v>
      </c>
      <c r="L85" s="318">
        <f t="shared" si="11"/>
        <v>0.39743917022858699</v>
      </c>
      <c r="M85" s="318">
        <f t="shared" si="11"/>
        <v>0.39853817199698321</v>
      </c>
      <c r="N85" s="318">
        <f t="shared" si="11"/>
        <v>0.39964489119996166</v>
      </c>
      <c r="O85" s="318">
        <f t="shared" si="11"/>
        <v>0.40075940941425758</v>
      </c>
      <c r="P85" s="318">
        <f t="shared" si="11"/>
        <v>0.40188180937040846</v>
      </c>
      <c r="Q85" s="318">
        <f t="shared" si="11"/>
        <v>0.40301217497322528</v>
      </c>
      <c r="R85" s="318">
        <f t="shared" si="11"/>
        <v>0.40415059132270104</v>
      </c>
      <c r="S85" s="318">
        <f t="shared" si="11"/>
        <v>0.40529714473536788</v>
      </c>
      <c r="T85" s="318">
        <f t="shared" si="11"/>
        <v>0.40645192276611369</v>
      </c>
      <c r="U85" s="318">
        <f t="shared" si="11"/>
        <v>0.40761501423047014</v>
      </c>
      <c r="V85" s="318">
        <f t="shared" si="11"/>
        <v>0.40878650922738302</v>
      </c>
      <c r="W85" s="318">
        <f t="shared" si="11"/>
        <v>0.40996649916247907</v>
      </c>
      <c r="X85" s="318">
        <f t="shared" si="11"/>
        <v>0.41115507677183999</v>
      </c>
      <c r="Y85" s="318">
        <f t="shared" si="11"/>
        <v>0.41235233614629774</v>
      </c>
      <c r="Z85" s="318">
        <f t="shared" si="11"/>
        <v>0.41355837275626389</v>
      </c>
      <c r="AA85" s="318">
        <f t="shared" si="11"/>
        <v>0.41477328347710757</v>
      </c>
      <c r="AB85" s="318">
        <f t="shared" si="11"/>
        <v>0.415997166615095</v>
      </c>
      <c r="AC85" s="321">
        <f t="shared" si="11"/>
        <v>0.41723012193390652</v>
      </c>
      <c r="AD85" s="368">
        <f t="shared" si="5"/>
        <v>9.6905878298649686</v>
      </c>
    </row>
    <row r="86" spans="1:30" s="53" customFormat="1" ht="12">
      <c r="A86" s="44"/>
      <c r="B86" s="70"/>
      <c r="C86" s="243" t="s">
        <v>420</v>
      </c>
      <c r="D86" s="268">
        <f>D59</f>
        <v>0.38127571701364549</v>
      </c>
      <c r="E86" s="236"/>
      <c r="F86" s="45"/>
      <c r="G86" s="313"/>
      <c r="H86" s="313"/>
      <c r="I86" s="313"/>
      <c r="J86" s="313"/>
      <c r="K86" s="313"/>
      <c r="L86" s="313"/>
      <c r="M86" s="313"/>
      <c r="N86" s="313"/>
      <c r="O86" s="313"/>
      <c r="P86" s="313"/>
      <c r="Q86" s="313"/>
      <c r="R86" s="313"/>
      <c r="S86" s="313"/>
      <c r="T86" s="313"/>
      <c r="U86" s="313"/>
      <c r="V86" s="313"/>
      <c r="W86" s="313"/>
      <c r="X86" s="313"/>
      <c r="Y86" s="313"/>
      <c r="Z86" s="45"/>
      <c r="AA86" s="45"/>
      <c r="AB86" s="45"/>
      <c r="AC86" s="283"/>
      <c r="AD86" s="361">
        <f t="shared" si="5"/>
        <v>0</v>
      </c>
    </row>
    <row r="87" spans="1:30" s="53" customFormat="1" ht="12">
      <c r="A87" s="44"/>
      <c r="B87" s="70"/>
      <c r="C87" s="243" t="s">
        <v>439</v>
      </c>
      <c r="D87" s="229">
        <f>'Mode Operating Assumptions'!C102</f>
        <v>0.17899999999999999</v>
      </c>
      <c r="E87" s="236"/>
      <c r="F87" s="45"/>
      <c r="G87" s="313"/>
      <c r="H87" s="313"/>
      <c r="I87" s="313"/>
      <c r="J87" s="313"/>
      <c r="K87" s="313"/>
      <c r="L87" s="313"/>
      <c r="M87" s="313"/>
      <c r="N87" s="313"/>
      <c r="O87" s="313"/>
      <c r="P87" s="313"/>
      <c r="Q87" s="313"/>
      <c r="R87" s="313"/>
      <c r="S87" s="313"/>
      <c r="T87" s="313"/>
      <c r="U87" s="313"/>
      <c r="V87" s="313"/>
      <c r="W87" s="313"/>
      <c r="X87" s="313"/>
      <c r="Y87" s="313"/>
      <c r="Z87" s="45"/>
      <c r="AA87" s="45"/>
      <c r="AB87" s="45"/>
      <c r="AC87" s="283"/>
      <c r="AD87" s="361">
        <f t="shared" si="5"/>
        <v>0</v>
      </c>
    </row>
    <row r="88" spans="1:30" s="53" customFormat="1" ht="12">
      <c r="A88" s="44"/>
      <c r="B88" s="70"/>
      <c r="C88" s="243" t="s">
        <v>400</v>
      </c>
      <c r="D88" s="229">
        <f>D61</f>
        <v>13.91</v>
      </c>
      <c r="E88" s="236"/>
      <c r="F88" s="45"/>
      <c r="G88" s="313"/>
      <c r="H88" s="313"/>
      <c r="I88" s="313"/>
      <c r="J88" s="313"/>
      <c r="K88" s="313"/>
      <c r="L88" s="313"/>
      <c r="M88" s="313"/>
      <c r="N88" s="313"/>
      <c r="O88" s="313"/>
      <c r="P88" s="313"/>
      <c r="Q88" s="313"/>
      <c r="R88" s="313"/>
      <c r="S88" s="313"/>
      <c r="T88" s="313"/>
      <c r="U88" s="313"/>
      <c r="V88" s="313"/>
      <c r="W88" s="313"/>
      <c r="X88" s="313"/>
      <c r="Y88" s="313"/>
      <c r="Z88" s="45"/>
      <c r="AA88" s="45"/>
      <c r="AB88" s="45"/>
      <c r="AC88" s="283"/>
      <c r="AD88" s="361">
        <f t="shared" si="5"/>
        <v>0</v>
      </c>
    </row>
    <row r="89" spans="1:30" s="53" customFormat="1" ht="12">
      <c r="A89" s="44"/>
      <c r="B89" s="70"/>
      <c r="C89" s="243" t="s">
        <v>401</v>
      </c>
      <c r="D89" s="229">
        <f t="shared" ref="D89" si="12">D62</f>
        <v>13.91</v>
      </c>
      <c r="E89" s="236"/>
      <c r="F89" s="45"/>
      <c r="G89" s="313"/>
      <c r="H89" s="313"/>
      <c r="I89" s="313"/>
      <c r="J89" s="313"/>
      <c r="K89" s="313"/>
      <c r="L89" s="313"/>
      <c r="M89" s="313"/>
      <c r="N89" s="313"/>
      <c r="O89" s="313"/>
      <c r="P89" s="313"/>
      <c r="Q89" s="313"/>
      <c r="R89" s="313"/>
      <c r="S89" s="313"/>
      <c r="T89" s="313"/>
      <c r="U89" s="313"/>
      <c r="V89" s="313"/>
      <c r="W89" s="313"/>
      <c r="X89" s="313"/>
      <c r="Y89" s="313"/>
      <c r="Z89" s="45"/>
      <c r="AA89" s="45"/>
      <c r="AB89" s="45"/>
      <c r="AC89" s="283"/>
      <c r="AD89" s="361">
        <f t="shared" si="5"/>
        <v>0</v>
      </c>
    </row>
    <row r="90" spans="1:30" s="53" customFormat="1" ht="12">
      <c r="A90" s="44"/>
      <c r="B90" s="70"/>
      <c r="C90" s="243" t="s">
        <v>438</v>
      </c>
      <c r="D90" s="229">
        <f>'Mode Operating Assumptions'!C103</f>
        <v>13.91</v>
      </c>
      <c r="E90" s="236"/>
      <c r="F90" s="45"/>
      <c r="G90" s="313"/>
      <c r="H90" s="313"/>
      <c r="I90" s="313"/>
      <c r="J90" s="313"/>
      <c r="K90" s="313"/>
      <c r="L90" s="313"/>
      <c r="M90" s="313"/>
      <c r="N90" s="313"/>
      <c r="O90" s="313"/>
      <c r="P90" s="313"/>
      <c r="Q90" s="313"/>
      <c r="R90" s="313"/>
      <c r="S90" s="313"/>
      <c r="T90" s="313"/>
      <c r="U90" s="313"/>
      <c r="V90" s="313"/>
      <c r="W90" s="313"/>
      <c r="X90" s="313"/>
      <c r="Y90" s="313"/>
      <c r="Z90" s="45"/>
      <c r="AA90" s="45"/>
      <c r="AB90" s="45"/>
      <c r="AC90" s="283"/>
      <c r="AD90" s="361">
        <f t="shared" si="5"/>
        <v>0</v>
      </c>
    </row>
    <row r="91" spans="1:30" s="53" customFormat="1" ht="12">
      <c r="A91" s="44"/>
      <c r="B91" s="70"/>
      <c r="C91" s="78" t="s">
        <v>440</v>
      </c>
      <c r="D91" s="229"/>
      <c r="E91" s="236"/>
      <c r="F91" s="275">
        <f>+(F85*$D$88)-($D$86*$D$89)-($D$87*$D$90)</f>
        <v>-2.3545863054081151</v>
      </c>
      <c r="G91" s="275">
        <f t="shared" ref="G91:AC91" si="13">+(G85*$D$88)-($D$86*$D$89)-($D$87*$D$90)</f>
        <v>-2.3399203228725822</v>
      </c>
      <c r="H91" s="275">
        <f t="shared" si="13"/>
        <v>-2.3251534773953093</v>
      </c>
      <c r="I91" s="275">
        <f t="shared" si="13"/>
        <v>-2.3102847248829557</v>
      </c>
      <c r="J91" s="275">
        <f t="shared" si="13"/>
        <v>-2.2953130067815621</v>
      </c>
      <c r="K91" s="275">
        <f t="shared" si="13"/>
        <v>-2.2802372498253352</v>
      </c>
      <c r="L91" s="275">
        <f t="shared" si="13"/>
        <v>-2.2650563657801639</v>
      </c>
      <c r="M91" s="275">
        <f t="shared" si="13"/>
        <v>-2.249769251181772</v>
      </c>
      <c r="N91" s="275">
        <f t="shared" si="13"/>
        <v>-2.2343747870683419</v>
      </c>
      <c r="O91" s="275">
        <f t="shared" si="13"/>
        <v>-2.2188718387074857</v>
      </c>
      <c r="P91" s="275">
        <f t="shared" si="13"/>
        <v>-2.2032592553174268</v>
      </c>
      <c r="Q91" s="275">
        <f t="shared" si="13"/>
        <v>-2.1875358697822449</v>
      </c>
      <c r="R91" s="275">
        <f t="shared" si="13"/>
        <v>-2.1717004983610373</v>
      </c>
      <c r="S91" s="275">
        <f t="shared" si="13"/>
        <v>-2.1557519403908412</v>
      </c>
      <c r="T91" s="275">
        <f t="shared" si="13"/>
        <v>-2.1396889779831669</v>
      </c>
      <c r="U91" s="275">
        <f t="shared" si="13"/>
        <v>-2.1235103757139688</v>
      </c>
      <c r="V91" s="275">
        <f t="shared" si="13"/>
        <v>-2.1072148803069108</v>
      </c>
      <c r="W91" s="275">
        <f t="shared" si="13"/>
        <v>-2.090801220309725</v>
      </c>
      <c r="X91" s="275">
        <f t="shared" si="13"/>
        <v>-2.0742681057635144</v>
      </c>
      <c r="Y91" s="275">
        <f t="shared" si="13"/>
        <v>-2.0576142278648071</v>
      </c>
      <c r="Z91" s="275">
        <f t="shared" si="13"/>
        <v>-2.0408382586201776</v>
      </c>
      <c r="AA91" s="275">
        <f t="shared" si="13"/>
        <v>-2.0239388504932423</v>
      </c>
      <c r="AB91" s="275">
        <f t="shared" si="13"/>
        <v>-2.0069146360438372</v>
      </c>
      <c r="AC91" s="288">
        <f t="shared" si="13"/>
        <v>-1.9897642275591689</v>
      </c>
      <c r="AD91" s="369">
        <f t="shared" si="5"/>
        <v>-52.2463686544137</v>
      </c>
    </row>
    <row r="92" spans="1:30">
      <c r="D92" s="229"/>
      <c r="E92" s="236"/>
      <c r="F92" s="275">
        <f>F91*F83</f>
        <v>0</v>
      </c>
      <c r="G92" s="275">
        <f t="shared" ref="G92:AC92" si="14">G91*G83</f>
        <v>0</v>
      </c>
      <c r="H92" s="275">
        <f t="shared" si="14"/>
        <v>-2979.4045463029338</v>
      </c>
      <c r="I92" s="275">
        <f t="shared" si="14"/>
        <v>-2939.7479803267456</v>
      </c>
      <c r="J92" s="275">
        <f t="shared" si="14"/>
        <v>-2900.226523931578</v>
      </c>
      <c r="K92" s="275">
        <f t="shared" si="14"/>
        <v>-2860.8415854373716</v>
      </c>
      <c r="L92" s="275">
        <f t="shared" si="14"/>
        <v>-2821.5945928052097</v>
      </c>
      <c r="M92" s="275">
        <f t="shared" si="14"/>
        <v>-2782.4869939809287</v>
      </c>
      <c r="N92" s="275">
        <f t="shared" si="14"/>
        <v>-2743.5202572459625</v>
      </c>
      <c r="O92" s="275">
        <f t="shared" si="14"/>
        <v>-2764.6664741629679</v>
      </c>
      <c r="P92" s="275">
        <f t="shared" si="14"/>
        <v>-2785.1126133657049</v>
      </c>
      <c r="Q92" s="275">
        <f t="shared" si="14"/>
        <v>-2804.8512222010272</v>
      </c>
      <c r="R92" s="275">
        <f t="shared" si="14"/>
        <v>-2823.8747418564667</v>
      </c>
      <c r="S92" s="275">
        <f t="shared" si="14"/>
        <v>-2842.175505463244</v>
      </c>
      <c r="T92" s="275">
        <f t="shared" si="14"/>
        <v>-2859.7457361584625</v>
      </c>
      <c r="U92" s="275">
        <f t="shared" si="14"/>
        <v>-2876.5775451054365</v>
      </c>
      <c r="V92" s="275">
        <f t="shared" si="14"/>
        <v>-2892.6629294711238</v>
      </c>
      <c r="W92" s="275">
        <f t="shared" si="14"/>
        <v>-2907.9937703595501</v>
      </c>
      <c r="X92" s="275">
        <f t="shared" si="14"/>
        <v>-2922.5618307001159</v>
      </c>
      <c r="Y92" s="275">
        <f t="shared" si="14"/>
        <v>-2936.3587530896289</v>
      </c>
      <c r="Z92" s="275">
        <f t="shared" si="14"/>
        <v>-2949.3760575868787</v>
      </c>
      <c r="AA92" s="275">
        <f t="shared" si="14"/>
        <v>-2961.6051394585274</v>
      </c>
      <c r="AB92" s="275">
        <f t="shared" si="14"/>
        <v>-2973.037266875052</v>
      </c>
      <c r="AC92" s="288">
        <f t="shared" si="14"/>
        <v>-2983.663578555459</v>
      </c>
      <c r="AD92" s="369">
        <f t="shared" si="5"/>
        <v>-63312.085644440376</v>
      </c>
    </row>
    <row r="93" spans="1:30" s="53" customFormat="1" ht="12">
      <c r="A93" s="44"/>
      <c r="B93" s="70"/>
      <c r="C93" s="62" t="s">
        <v>429</v>
      </c>
      <c r="D93" s="229"/>
      <c r="E93" s="236"/>
      <c r="F93" s="309">
        <f>F92</f>
        <v>0</v>
      </c>
      <c r="G93" s="309">
        <f t="shared" ref="G93:AC93" si="15">G92</f>
        <v>0</v>
      </c>
      <c r="H93" s="309">
        <f t="shared" si="15"/>
        <v>-2979.4045463029338</v>
      </c>
      <c r="I93" s="309">
        <f t="shared" si="15"/>
        <v>-2939.7479803267456</v>
      </c>
      <c r="J93" s="309">
        <f t="shared" si="15"/>
        <v>-2900.226523931578</v>
      </c>
      <c r="K93" s="309">
        <f t="shared" si="15"/>
        <v>-2860.8415854373716</v>
      </c>
      <c r="L93" s="309">
        <f t="shared" si="15"/>
        <v>-2821.5945928052097</v>
      </c>
      <c r="M93" s="309">
        <f t="shared" si="15"/>
        <v>-2782.4869939809287</v>
      </c>
      <c r="N93" s="309">
        <f t="shared" si="15"/>
        <v>-2743.5202572459625</v>
      </c>
      <c r="O93" s="309">
        <f t="shared" si="15"/>
        <v>-2764.6664741629679</v>
      </c>
      <c r="P93" s="309">
        <f t="shared" si="15"/>
        <v>-2785.1126133657049</v>
      </c>
      <c r="Q93" s="309">
        <f t="shared" si="15"/>
        <v>-2804.8512222010272</v>
      </c>
      <c r="R93" s="309">
        <f t="shared" si="15"/>
        <v>-2823.8747418564667</v>
      </c>
      <c r="S93" s="309">
        <f t="shared" si="15"/>
        <v>-2842.175505463244</v>
      </c>
      <c r="T93" s="309">
        <f t="shared" si="15"/>
        <v>-2859.7457361584625</v>
      </c>
      <c r="U93" s="309">
        <f t="shared" si="15"/>
        <v>-2876.5775451054365</v>
      </c>
      <c r="V93" s="309">
        <f t="shared" si="15"/>
        <v>-2892.6629294711238</v>
      </c>
      <c r="W93" s="309">
        <f t="shared" si="15"/>
        <v>-2907.9937703595501</v>
      </c>
      <c r="X93" s="309">
        <f t="shared" si="15"/>
        <v>-2922.5618307001159</v>
      </c>
      <c r="Y93" s="309">
        <f t="shared" si="15"/>
        <v>-2936.3587530896289</v>
      </c>
      <c r="Z93" s="309">
        <f t="shared" si="15"/>
        <v>-2949.3760575868787</v>
      </c>
      <c r="AA93" s="309">
        <f t="shared" si="15"/>
        <v>-2961.6051394585274</v>
      </c>
      <c r="AB93" s="309">
        <f t="shared" si="15"/>
        <v>-2973.037266875052</v>
      </c>
      <c r="AC93" s="340">
        <f t="shared" si="15"/>
        <v>-2983.663578555459</v>
      </c>
      <c r="AD93" s="370">
        <f t="shared" si="5"/>
        <v>-63312.085644440376</v>
      </c>
    </row>
    <row r="94" spans="1:30" s="53" customFormat="1" ht="12">
      <c r="A94" s="44"/>
      <c r="B94" s="70"/>
      <c r="C94" s="62"/>
      <c r="D94" s="229"/>
      <c r="E94" s="236"/>
      <c r="F94" s="45"/>
      <c r="G94" s="59"/>
      <c r="H94" s="59"/>
      <c r="I94" s="59"/>
      <c r="J94" s="59"/>
      <c r="K94" s="59"/>
      <c r="L94" s="59"/>
      <c r="M94" s="59"/>
      <c r="N94" s="59"/>
      <c r="O94" s="59"/>
      <c r="P94" s="59"/>
      <c r="Q94" s="59"/>
      <c r="R94" s="59"/>
      <c r="S94" s="59"/>
      <c r="T94" s="59"/>
      <c r="U94" s="59"/>
      <c r="V94" s="59"/>
      <c r="W94" s="59"/>
      <c r="X94" s="59"/>
      <c r="Y94" s="59"/>
      <c r="AC94" s="283"/>
      <c r="AD94" s="361">
        <f t="shared" si="5"/>
        <v>0</v>
      </c>
    </row>
    <row r="95" spans="1:30" s="53" customFormat="1" ht="12">
      <c r="A95" s="44"/>
      <c r="B95" s="70"/>
      <c r="C95" s="63" t="s">
        <v>149</v>
      </c>
      <c r="D95" s="229"/>
      <c r="E95" s="236"/>
      <c r="F95" s="45"/>
      <c r="G95" s="59"/>
      <c r="H95" s="59"/>
      <c r="I95" s="59"/>
      <c r="J95" s="59"/>
      <c r="K95" s="59"/>
      <c r="L95" s="59"/>
      <c r="M95" s="59"/>
      <c r="N95" s="59"/>
      <c r="O95" s="59"/>
      <c r="P95" s="59"/>
      <c r="Q95" s="59"/>
      <c r="R95" s="59"/>
      <c r="S95" s="59"/>
      <c r="T95" s="59"/>
      <c r="U95" s="59"/>
      <c r="V95" s="59"/>
      <c r="W95" s="59"/>
      <c r="X95" s="59"/>
      <c r="Y95" s="59"/>
      <c r="AC95" s="283"/>
      <c r="AD95" s="361">
        <f t="shared" si="5"/>
        <v>0</v>
      </c>
    </row>
    <row r="96" spans="1:30" s="53" customFormat="1" ht="12">
      <c r="A96" s="44"/>
      <c r="B96" s="70"/>
      <c r="C96" s="243" t="s">
        <v>446</v>
      </c>
      <c r="D96" s="273">
        <f>D69</f>
        <v>8.1905000000000001</v>
      </c>
      <c r="E96" s="236"/>
      <c r="F96" s="45"/>
      <c r="G96" s="59"/>
      <c r="H96" s="59"/>
      <c r="I96" s="59"/>
      <c r="J96" s="59"/>
      <c r="K96" s="59"/>
      <c r="L96" s="59"/>
      <c r="M96" s="59"/>
      <c r="N96" s="59"/>
      <c r="O96" s="59"/>
      <c r="P96" s="59"/>
      <c r="Q96" s="59"/>
      <c r="R96" s="59"/>
      <c r="S96" s="59"/>
      <c r="T96" s="59"/>
      <c r="U96" s="59"/>
      <c r="V96" s="59"/>
      <c r="W96" s="59"/>
      <c r="X96" s="59"/>
      <c r="Y96" s="59"/>
      <c r="AC96" s="283"/>
      <c r="AD96" s="361">
        <f t="shared" si="5"/>
        <v>0</v>
      </c>
    </row>
    <row r="97" spans="1:30" s="53" customFormat="1" ht="12">
      <c r="A97" s="44"/>
      <c r="B97" s="70"/>
      <c r="C97" s="244" t="s">
        <v>402</v>
      </c>
      <c r="D97" s="273">
        <f t="shared" ref="D97" si="16">D70</f>
        <v>2.107407271835358</v>
      </c>
      <c r="E97" s="236"/>
      <c r="F97" s="45"/>
      <c r="G97" s="59"/>
      <c r="H97" s="59"/>
      <c r="I97" s="59"/>
      <c r="J97" s="59"/>
      <c r="K97" s="59"/>
      <c r="L97" s="59"/>
      <c r="M97" s="59"/>
      <c r="N97" s="59"/>
      <c r="O97" s="59"/>
      <c r="P97" s="59"/>
      <c r="Q97" s="59"/>
      <c r="R97" s="59"/>
      <c r="S97" s="59"/>
      <c r="T97" s="59"/>
      <c r="U97" s="59"/>
      <c r="V97" s="59"/>
      <c r="W97" s="59"/>
      <c r="X97" s="59"/>
      <c r="Y97" s="59"/>
      <c r="AC97" s="283"/>
      <c r="AD97" s="361">
        <f t="shared" si="5"/>
        <v>0</v>
      </c>
    </row>
    <row r="98" spans="1:30" s="53" customFormat="1" ht="12">
      <c r="A98" s="44"/>
      <c r="B98" s="70"/>
      <c r="C98" s="244" t="s">
        <v>414</v>
      </c>
      <c r="D98" s="273">
        <v>0.1</v>
      </c>
      <c r="E98" s="236"/>
      <c r="F98" s="45"/>
      <c r="G98" s="59"/>
      <c r="H98" s="59"/>
      <c r="I98" s="59"/>
      <c r="J98" s="59"/>
      <c r="K98" s="59"/>
      <c r="L98" s="59"/>
      <c r="M98" s="59"/>
      <c r="N98" s="59"/>
      <c r="O98" s="59"/>
      <c r="P98" s="59"/>
      <c r="Q98" s="59"/>
      <c r="R98" s="59"/>
      <c r="S98" s="59"/>
      <c r="T98" s="59"/>
      <c r="U98" s="59"/>
      <c r="V98" s="59"/>
      <c r="W98" s="59"/>
      <c r="X98" s="59"/>
      <c r="Y98" s="59"/>
      <c r="AC98" s="283"/>
      <c r="AD98" s="361">
        <f t="shared" si="5"/>
        <v>0</v>
      </c>
    </row>
    <row r="99" spans="1:30" s="53" customFormat="1" ht="12">
      <c r="A99" s="44"/>
      <c r="B99" s="70"/>
      <c r="C99" s="78" t="s">
        <v>441</v>
      </c>
      <c r="D99" s="273">
        <f>+D96-D97-D98</f>
        <v>5.9830927281646424</v>
      </c>
      <c r="E99" s="236"/>
      <c r="F99" s="252">
        <f t="shared" ref="F99:AC99" si="17">$D99*F83</f>
        <v>0</v>
      </c>
      <c r="G99" s="252">
        <f t="shared" si="17"/>
        <v>0</v>
      </c>
      <c r="H99" s="252">
        <f t="shared" si="17"/>
        <v>7666.6137734765434</v>
      </c>
      <c r="I99" s="252">
        <f t="shared" si="17"/>
        <v>7613.2541475470025</v>
      </c>
      <c r="J99" s="252">
        <f t="shared" si="17"/>
        <v>7559.8945216174652</v>
      </c>
      <c r="K99" s="252">
        <f t="shared" si="17"/>
        <v>7506.5348956879252</v>
      </c>
      <c r="L99" s="252">
        <f t="shared" si="17"/>
        <v>7453.175269758387</v>
      </c>
      <c r="M99" s="252">
        <f t="shared" si="17"/>
        <v>7399.8156438288488</v>
      </c>
      <c r="N99" s="252">
        <f t="shared" si="17"/>
        <v>7346.4560178993088</v>
      </c>
      <c r="O99" s="252">
        <f t="shared" si="17"/>
        <v>7454.8045492345682</v>
      </c>
      <c r="P99" s="252">
        <f t="shared" si="17"/>
        <v>7563.1530805698239</v>
      </c>
      <c r="Q99" s="252">
        <f t="shared" si="17"/>
        <v>7671.5016119050815</v>
      </c>
      <c r="R99" s="252">
        <f t="shared" si="17"/>
        <v>7779.85014324034</v>
      </c>
      <c r="S99" s="252">
        <f t="shared" si="17"/>
        <v>7888.1986745755949</v>
      </c>
      <c r="T99" s="252">
        <f t="shared" si="17"/>
        <v>7996.5472059108524</v>
      </c>
      <c r="U99" s="252">
        <f t="shared" si="17"/>
        <v>8104.8957372461118</v>
      </c>
      <c r="V99" s="252">
        <f t="shared" si="17"/>
        <v>8213.2442685813694</v>
      </c>
      <c r="W99" s="252">
        <f t="shared" si="17"/>
        <v>8321.592799916627</v>
      </c>
      <c r="X99" s="252">
        <f t="shared" si="17"/>
        <v>8429.9413312518864</v>
      </c>
      <c r="Y99" s="252">
        <f t="shared" si="17"/>
        <v>8538.2898625871439</v>
      </c>
      <c r="Z99" s="252">
        <f t="shared" si="17"/>
        <v>8646.6383939223979</v>
      </c>
      <c r="AA99" s="252">
        <f t="shared" si="17"/>
        <v>8754.9869252576573</v>
      </c>
      <c r="AB99" s="252">
        <f t="shared" si="17"/>
        <v>8863.3354565929149</v>
      </c>
      <c r="AC99" s="286">
        <f t="shared" si="17"/>
        <v>8971.6839879281706</v>
      </c>
      <c r="AD99" s="371">
        <f t="shared" si="5"/>
        <v>175744.40829853603</v>
      </c>
    </row>
    <row r="100" spans="1:30" s="53" customFormat="1" ht="12">
      <c r="A100" s="44"/>
      <c r="C100" s="62" t="s">
        <v>430</v>
      </c>
      <c r="D100" s="229"/>
      <c r="E100" s="236"/>
      <c r="F100" s="252">
        <f>F99</f>
        <v>0</v>
      </c>
      <c r="G100" s="252">
        <f t="shared" ref="G100:AC100" si="18">G99</f>
        <v>0</v>
      </c>
      <c r="H100" s="252">
        <f t="shared" si="18"/>
        <v>7666.6137734765434</v>
      </c>
      <c r="I100" s="252">
        <f t="shared" si="18"/>
        <v>7613.2541475470025</v>
      </c>
      <c r="J100" s="252">
        <f t="shared" si="18"/>
        <v>7559.8945216174652</v>
      </c>
      <c r="K100" s="252">
        <f t="shared" si="18"/>
        <v>7506.5348956879252</v>
      </c>
      <c r="L100" s="252">
        <f t="shared" si="18"/>
        <v>7453.175269758387</v>
      </c>
      <c r="M100" s="252">
        <f t="shared" si="18"/>
        <v>7399.8156438288488</v>
      </c>
      <c r="N100" s="252">
        <f t="shared" si="18"/>
        <v>7346.4560178993088</v>
      </c>
      <c r="O100" s="252">
        <f t="shared" si="18"/>
        <v>7454.8045492345682</v>
      </c>
      <c r="P100" s="252">
        <f t="shared" si="18"/>
        <v>7563.1530805698239</v>
      </c>
      <c r="Q100" s="252">
        <f t="shared" si="18"/>
        <v>7671.5016119050815</v>
      </c>
      <c r="R100" s="252">
        <f t="shared" si="18"/>
        <v>7779.85014324034</v>
      </c>
      <c r="S100" s="252">
        <f t="shared" si="18"/>
        <v>7888.1986745755949</v>
      </c>
      <c r="T100" s="252">
        <f t="shared" si="18"/>
        <v>7996.5472059108524</v>
      </c>
      <c r="U100" s="252">
        <f t="shared" si="18"/>
        <v>8104.8957372461118</v>
      </c>
      <c r="V100" s="252">
        <f t="shared" si="18"/>
        <v>8213.2442685813694</v>
      </c>
      <c r="W100" s="252">
        <f t="shared" si="18"/>
        <v>8321.592799916627</v>
      </c>
      <c r="X100" s="252">
        <f t="shared" si="18"/>
        <v>8429.9413312518864</v>
      </c>
      <c r="Y100" s="252">
        <f t="shared" si="18"/>
        <v>8538.2898625871439</v>
      </c>
      <c r="Z100" s="252">
        <f t="shared" si="18"/>
        <v>8646.6383939223979</v>
      </c>
      <c r="AA100" s="252">
        <f t="shared" si="18"/>
        <v>8754.9869252576573</v>
      </c>
      <c r="AB100" s="252">
        <f t="shared" si="18"/>
        <v>8863.3354565929149</v>
      </c>
      <c r="AC100" s="286">
        <f t="shared" si="18"/>
        <v>8971.6839879281706</v>
      </c>
      <c r="AD100" s="371">
        <f t="shared" si="5"/>
        <v>175744.40829853603</v>
      </c>
    </row>
    <row r="101" spans="1:30" s="53" customFormat="1" ht="12">
      <c r="A101" s="44"/>
      <c r="B101" s="70"/>
      <c r="D101" s="229"/>
      <c r="E101" s="236"/>
      <c r="F101" s="45"/>
      <c r="G101" s="59"/>
      <c r="H101" s="59"/>
      <c r="I101" s="59"/>
      <c r="J101" s="59"/>
      <c r="K101" s="59"/>
      <c r="L101" s="59"/>
      <c r="M101" s="59"/>
      <c r="N101" s="59"/>
      <c r="O101" s="59"/>
      <c r="P101" s="59"/>
      <c r="Q101" s="59"/>
      <c r="R101" s="59"/>
      <c r="S101" s="59"/>
      <c r="T101" s="59"/>
      <c r="U101" s="59"/>
      <c r="V101" s="59"/>
      <c r="W101" s="59"/>
      <c r="X101" s="59"/>
      <c r="Y101" s="59"/>
      <c r="AC101" s="283"/>
      <c r="AD101" s="361">
        <f t="shared" si="5"/>
        <v>0</v>
      </c>
    </row>
    <row r="102" spans="1:30" s="53" customFormat="1" ht="12">
      <c r="A102" s="44"/>
      <c r="B102" s="5" t="s">
        <v>413</v>
      </c>
      <c r="D102" s="229"/>
      <c r="E102" s="236"/>
      <c r="F102" s="59"/>
      <c r="G102" s="59"/>
      <c r="H102" s="59"/>
      <c r="I102" s="59"/>
      <c r="J102" s="59"/>
      <c r="K102" s="59"/>
      <c r="L102" s="59"/>
      <c r="M102" s="59"/>
      <c r="N102" s="59"/>
      <c r="O102" s="59"/>
      <c r="P102" s="59"/>
      <c r="Q102" s="59"/>
      <c r="R102" s="59"/>
      <c r="S102" s="59"/>
      <c r="T102" s="59"/>
      <c r="U102" s="59"/>
      <c r="V102" s="59"/>
      <c r="W102" s="59"/>
      <c r="X102" s="59"/>
      <c r="Y102" s="59"/>
      <c r="AC102" s="283"/>
      <c r="AD102" s="361">
        <f t="shared" si="5"/>
        <v>0</v>
      </c>
    </row>
    <row r="103" spans="1:30" s="53" customFormat="1" ht="12">
      <c r="A103" s="44"/>
      <c r="B103" s="70" t="s">
        <v>463</v>
      </c>
      <c r="C103" s="47" t="s">
        <v>95</v>
      </c>
      <c r="D103" s="229"/>
      <c r="E103" s="236"/>
      <c r="F103" s="59">
        <f>F20</f>
        <v>0</v>
      </c>
      <c r="G103" s="59">
        <f t="shared" ref="G103:AC103" si="19">G20</f>
        <v>18250</v>
      </c>
      <c r="H103" s="59">
        <f t="shared" si="19"/>
        <v>18432.5</v>
      </c>
      <c r="I103" s="59">
        <f t="shared" si="19"/>
        <v>18616.825000000001</v>
      </c>
      <c r="J103" s="59">
        <f t="shared" si="19"/>
        <v>18802.993250000003</v>
      </c>
      <c r="K103" s="59">
        <f t="shared" si="19"/>
        <v>18991.023182500001</v>
      </c>
      <c r="L103" s="59">
        <f t="shared" si="19"/>
        <v>19180.933414324998</v>
      </c>
      <c r="M103" s="59">
        <f t="shared" si="19"/>
        <v>19372.742748468252</v>
      </c>
      <c r="N103" s="59">
        <f t="shared" si="19"/>
        <v>19566.470175952938</v>
      </c>
      <c r="O103" s="59">
        <f t="shared" si="19"/>
        <v>19762.134877712466</v>
      </c>
      <c r="P103" s="59">
        <f t="shared" si="19"/>
        <v>19959.75622648959</v>
      </c>
      <c r="Q103" s="59">
        <f t="shared" si="19"/>
        <v>20159.353788754484</v>
      </c>
      <c r="R103" s="59">
        <f t="shared" si="19"/>
        <v>20360.947326642028</v>
      </c>
      <c r="S103" s="59">
        <f t="shared" si="19"/>
        <v>20564.556799908452</v>
      </c>
      <c r="T103" s="59">
        <f t="shared" si="19"/>
        <v>20770.202367907536</v>
      </c>
      <c r="U103" s="59">
        <f t="shared" si="19"/>
        <v>20977.90439158661</v>
      </c>
      <c r="V103" s="59">
        <f t="shared" si="19"/>
        <v>21187.683435502477</v>
      </c>
      <c r="W103" s="59">
        <f t="shared" si="19"/>
        <v>21399.560269857502</v>
      </c>
      <c r="X103" s="59">
        <f t="shared" si="19"/>
        <v>21613.555872556077</v>
      </c>
      <c r="Y103" s="59">
        <f t="shared" si="19"/>
        <v>21829.691431281637</v>
      </c>
      <c r="Z103" s="59">
        <f t="shared" si="19"/>
        <v>22047.988345594455</v>
      </c>
      <c r="AA103" s="59">
        <f t="shared" si="19"/>
        <v>22268.468229050399</v>
      </c>
      <c r="AB103" s="59">
        <f t="shared" si="19"/>
        <v>22491.152911340905</v>
      </c>
      <c r="AC103" s="284">
        <f t="shared" si="19"/>
        <v>22716.064440454316</v>
      </c>
      <c r="AD103" s="362">
        <f t="shared" si="5"/>
        <v>469322.50848588505</v>
      </c>
    </row>
    <row r="104" spans="1:30" s="53" customFormat="1" ht="12">
      <c r="A104" s="44"/>
      <c r="B104" s="70"/>
      <c r="C104" s="47" t="s">
        <v>96</v>
      </c>
      <c r="D104" s="229"/>
      <c r="E104" s="236"/>
      <c r="F104" s="59">
        <f t="shared" ref="F104:AC106" si="20">F21</f>
        <v>0</v>
      </c>
      <c r="G104" s="59">
        <f t="shared" si="20"/>
        <v>27375</v>
      </c>
      <c r="H104" s="59">
        <f t="shared" si="20"/>
        <v>27648.75</v>
      </c>
      <c r="I104" s="59">
        <f t="shared" si="20"/>
        <v>27925.237499999999</v>
      </c>
      <c r="J104" s="59">
        <f t="shared" si="20"/>
        <v>28204.489875000003</v>
      </c>
      <c r="K104" s="59">
        <f t="shared" si="20"/>
        <v>28486.534773749998</v>
      </c>
      <c r="L104" s="59">
        <f t="shared" si="20"/>
        <v>28771.400121487499</v>
      </c>
      <c r="M104" s="59">
        <f t="shared" si="20"/>
        <v>29059.11412270238</v>
      </c>
      <c r="N104" s="59">
        <f t="shared" si="20"/>
        <v>29349.705263929402</v>
      </c>
      <c r="O104" s="59">
        <f t="shared" si="20"/>
        <v>29643.202316568691</v>
      </c>
      <c r="P104" s="59">
        <f t="shared" si="20"/>
        <v>29939.634339734381</v>
      </c>
      <c r="Q104" s="59">
        <f t="shared" si="20"/>
        <v>30239.030683131725</v>
      </c>
      <c r="R104" s="59">
        <f t="shared" si="20"/>
        <v>30541.42098996304</v>
      </c>
      <c r="S104" s="59">
        <f t="shared" si="20"/>
        <v>30846.835199862675</v>
      </c>
      <c r="T104" s="59">
        <f t="shared" si="20"/>
        <v>31155.303551861296</v>
      </c>
      <c r="U104" s="59">
        <f t="shared" si="20"/>
        <v>31466.856587379913</v>
      </c>
      <c r="V104" s="59">
        <f t="shared" si="20"/>
        <v>31781.525153253715</v>
      </c>
      <c r="W104" s="59">
        <f t="shared" si="20"/>
        <v>32099.34040478625</v>
      </c>
      <c r="X104" s="59">
        <f t="shared" si="20"/>
        <v>32420.333808834112</v>
      </c>
      <c r="Y104" s="59">
        <f t="shared" si="20"/>
        <v>32744.537146922448</v>
      </c>
      <c r="Z104" s="59">
        <f t="shared" si="20"/>
        <v>33071.982518391676</v>
      </c>
      <c r="AA104" s="59">
        <f t="shared" si="20"/>
        <v>33402.702343575598</v>
      </c>
      <c r="AB104" s="59">
        <f t="shared" si="20"/>
        <v>33736.729367011358</v>
      </c>
      <c r="AC104" s="284">
        <f t="shared" si="20"/>
        <v>34074.096660681469</v>
      </c>
      <c r="AD104" s="362">
        <f t="shared" si="5"/>
        <v>703983.76272882754</v>
      </c>
    </row>
    <row r="105" spans="1:30" s="53" customFormat="1" ht="12">
      <c r="A105" s="44"/>
      <c r="B105" s="70"/>
      <c r="C105" s="47" t="s">
        <v>148</v>
      </c>
      <c r="D105" s="229"/>
      <c r="E105" s="236"/>
      <c r="F105" s="59">
        <f t="shared" si="20"/>
        <v>0</v>
      </c>
      <c r="G105" s="59">
        <f t="shared" si="20"/>
        <v>27375</v>
      </c>
      <c r="H105" s="59">
        <f t="shared" si="20"/>
        <v>27648.75</v>
      </c>
      <c r="I105" s="59">
        <f t="shared" si="20"/>
        <v>27925.237499999999</v>
      </c>
      <c r="J105" s="59">
        <f t="shared" si="20"/>
        <v>28204.489875000003</v>
      </c>
      <c r="K105" s="59">
        <f t="shared" si="20"/>
        <v>28486.534773749998</v>
      </c>
      <c r="L105" s="59">
        <f t="shared" si="20"/>
        <v>28771.400121487499</v>
      </c>
      <c r="M105" s="59">
        <f t="shared" si="20"/>
        <v>29059.11412270238</v>
      </c>
      <c r="N105" s="59">
        <f t="shared" si="20"/>
        <v>29349.705263929402</v>
      </c>
      <c r="O105" s="59">
        <f t="shared" si="20"/>
        <v>29643.202316568691</v>
      </c>
      <c r="P105" s="59">
        <f t="shared" si="20"/>
        <v>29939.634339734381</v>
      </c>
      <c r="Q105" s="59">
        <f t="shared" si="20"/>
        <v>30239.030683131725</v>
      </c>
      <c r="R105" s="59">
        <f t="shared" si="20"/>
        <v>30541.42098996304</v>
      </c>
      <c r="S105" s="59">
        <f t="shared" si="20"/>
        <v>30846.835199862675</v>
      </c>
      <c r="T105" s="59">
        <f t="shared" si="20"/>
        <v>31155.303551861296</v>
      </c>
      <c r="U105" s="59">
        <f t="shared" si="20"/>
        <v>31466.856587379913</v>
      </c>
      <c r="V105" s="59">
        <f t="shared" si="20"/>
        <v>31781.525153253715</v>
      </c>
      <c r="W105" s="59">
        <f t="shared" si="20"/>
        <v>32099.34040478625</v>
      </c>
      <c r="X105" s="59">
        <f t="shared" si="20"/>
        <v>32420.333808834112</v>
      </c>
      <c r="Y105" s="59">
        <f t="shared" si="20"/>
        <v>32744.537146922448</v>
      </c>
      <c r="Z105" s="59">
        <f t="shared" si="20"/>
        <v>33071.982518391676</v>
      </c>
      <c r="AA105" s="59">
        <f t="shared" si="20"/>
        <v>33402.702343575598</v>
      </c>
      <c r="AB105" s="59">
        <f t="shared" si="20"/>
        <v>33736.729367011358</v>
      </c>
      <c r="AC105" s="284">
        <f t="shared" si="20"/>
        <v>34074.096660681469</v>
      </c>
      <c r="AD105" s="362">
        <f t="shared" si="5"/>
        <v>703983.76272882754</v>
      </c>
    </row>
    <row r="106" spans="1:30" s="53" customFormat="1" ht="12">
      <c r="A106" s="44"/>
      <c r="B106" s="70"/>
      <c r="C106" s="78" t="s">
        <v>437</v>
      </c>
      <c r="D106" s="229"/>
      <c r="E106" s="236"/>
      <c r="F106" s="59">
        <f t="shared" si="20"/>
        <v>0</v>
      </c>
      <c r="G106" s="59">
        <f t="shared" si="20"/>
        <v>18250</v>
      </c>
      <c r="H106" s="59">
        <f t="shared" si="20"/>
        <v>18432.5</v>
      </c>
      <c r="I106" s="59">
        <f t="shared" si="20"/>
        <v>18616.825000000001</v>
      </c>
      <c r="J106" s="59">
        <f t="shared" si="20"/>
        <v>18802.993250000003</v>
      </c>
      <c r="K106" s="59">
        <f t="shared" si="20"/>
        <v>18991.023182500001</v>
      </c>
      <c r="L106" s="59">
        <f t="shared" si="20"/>
        <v>19180.933414324998</v>
      </c>
      <c r="M106" s="59">
        <f t="shared" si="20"/>
        <v>19372.742748468252</v>
      </c>
      <c r="N106" s="59">
        <f t="shared" si="20"/>
        <v>19566.470175952938</v>
      </c>
      <c r="O106" s="59">
        <f t="shared" si="20"/>
        <v>19762.134877712466</v>
      </c>
      <c r="P106" s="59">
        <f t="shared" si="20"/>
        <v>19959.75622648959</v>
      </c>
      <c r="Q106" s="59">
        <f t="shared" si="20"/>
        <v>20159.353788754484</v>
      </c>
      <c r="R106" s="59">
        <f t="shared" si="20"/>
        <v>20360.947326642028</v>
      </c>
      <c r="S106" s="59">
        <f t="shared" si="20"/>
        <v>20564.556799908452</v>
      </c>
      <c r="T106" s="59">
        <f t="shared" si="20"/>
        <v>20770.202367907536</v>
      </c>
      <c r="U106" s="59">
        <f t="shared" si="20"/>
        <v>20977.90439158661</v>
      </c>
      <c r="V106" s="59">
        <f t="shared" si="20"/>
        <v>21187.683435502477</v>
      </c>
      <c r="W106" s="59">
        <f t="shared" si="20"/>
        <v>21399.560269857502</v>
      </c>
      <c r="X106" s="59">
        <f t="shared" si="20"/>
        <v>21613.555872556077</v>
      </c>
      <c r="Y106" s="59">
        <f t="shared" si="20"/>
        <v>21829.691431281637</v>
      </c>
      <c r="Z106" s="59">
        <f t="shared" si="20"/>
        <v>22047.988345594455</v>
      </c>
      <c r="AA106" s="59">
        <f t="shared" si="20"/>
        <v>22268.468229050399</v>
      </c>
      <c r="AB106" s="59">
        <f t="shared" si="20"/>
        <v>22491.152911340905</v>
      </c>
      <c r="AC106" s="284">
        <f t="shared" si="20"/>
        <v>22716.064440454316</v>
      </c>
      <c r="AD106" s="362">
        <f t="shared" si="5"/>
        <v>469322.50848588505</v>
      </c>
    </row>
    <row r="107" spans="1:30" s="53" customFormat="1" ht="12">
      <c r="A107" s="44"/>
      <c r="B107" s="70" t="s">
        <v>462</v>
      </c>
      <c r="C107" s="78" t="s">
        <v>442</v>
      </c>
      <c r="D107" s="229"/>
      <c r="E107" s="236"/>
      <c r="F107" s="59">
        <f t="shared" ref="F107:AC107" si="21">F25</f>
        <v>0</v>
      </c>
      <c r="G107" s="59">
        <f t="shared" si="21"/>
        <v>36500</v>
      </c>
      <c r="H107" s="59">
        <f t="shared" si="21"/>
        <v>36865</v>
      </c>
      <c r="I107" s="59">
        <f t="shared" si="21"/>
        <v>37233.65</v>
      </c>
      <c r="J107" s="59">
        <f t="shared" si="21"/>
        <v>37605.986500000006</v>
      </c>
      <c r="K107" s="59">
        <f t="shared" si="21"/>
        <v>37982.046365000002</v>
      </c>
      <c r="L107" s="59">
        <f t="shared" si="21"/>
        <v>38361.866828649996</v>
      </c>
      <c r="M107" s="59">
        <f t="shared" si="21"/>
        <v>38745.485496936504</v>
      </c>
      <c r="N107" s="59">
        <f t="shared" si="21"/>
        <v>39132.940351905876</v>
      </c>
      <c r="O107" s="59">
        <f t="shared" si="21"/>
        <v>39524.269755424932</v>
      </c>
      <c r="P107" s="59">
        <f t="shared" si="21"/>
        <v>39919.512452979179</v>
      </c>
      <c r="Q107" s="59">
        <f t="shared" si="21"/>
        <v>40318.707577508969</v>
      </c>
      <c r="R107" s="59">
        <f t="shared" si="21"/>
        <v>40721.894653284056</v>
      </c>
      <c r="S107" s="59">
        <f t="shared" si="21"/>
        <v>41129.113599816905</v>
      </c>
      <c r="T107" s="59">
        <f t="shared" si="21"/>
        <v>41540.404735815071</v>
      </c>
      <c r="U107" s="59">
        <f t="shared" si="21"/>
        <v>41955.808783173219</v>
      </c>
      <c r="V107" s="59">
        <f t="shared" si="21"/>
        <v>42375.366871004953</v>
      </c>
      <c r="W107" s="59">
        <f t="shared" si="21"/>
        <v>42799.120539715004</v>
      </c>
      <c r="X107" s="59">
        <f t="shared" si="21"/>
        <v>43227.111745112154</v>
      </c>
      <c r="Y107" s="59">
        <f t="shared" si="21"/>
        <v>43659.382862563274</v>
      </c>
      <c r="Z107" s="59">
        <f t="shared" si="21"/>
        <v>44095.976691188909</v>
      </c>
      <c r="AA107" s="59">
        <f t="shared" si="21"/>
        <v>44536.936458100798</v>
      </c>
      <c r="AB107" s="59">
        <f t="shared" si="21"/>
        <v>44982.30582268181</v>
      </c>
      <c r="AC107" s="284">
        <f t="shared" si="21"/>
        <v>45432.128880908633</v>
      </c>
      <c r="AD107" s="362">
        <f t="shared" si="5"/>
        <v>938645.01697177009</v>
      </c>
    </row>
    <row r="108" spans="1:30" s="53" customFormat="1" ht="12">
      <c r="A108" s="44"/>
      <c r="B108" s="70"/>
      <c r="C108" s="78"/>
      <c r="D108" s="229"/>
      <c r="E108" s="236"/>
      <c r="F108" s="59"/>
      <c r="G108" s="59"/>
      <c r="H108" s="59"/>
      <c r="I108" s="59"/>
      <c r="J108" s="59"/>
      <c r="K108" s="59"/>
      <c r="L108" s="59"/>
      <c r="M108" s="59"/>
      <c r="N108" s="59"/>
      <c r="O108" s="59"/>
      <c r="P108" s="59"/>
      <c r="Q108" s="59"/>
      <c r="R108" s="59"/>
      <c r="S108" s="59"/>
      <c r="T108" s="59"/>
      <c r="U108" s="59"/>
      <c r="V108" s="59"/>
      <c r="W108" s="59"/>
      <c r="X108" s="59"/>
      <c r="Y108" s="59"/>
      <c r="AC108" s="283"/>
      <c r="AD108" s="361">
        <f t="shared" si="5"/>
        <v>0</v>
      </c>
    </row>
    <row r="109" spans="1:30" s="53" customFormat="1" ht="12">
      <c r="A109" s="44"/>
      <c r="B109" s="70" t="s">
        <v>415</v>
      </c>
      <c r="C109" s="63" t="s">
        <v>131</v>
      </c>
      <c r="D109" s="229"/>
      <c r="E109" s="236"/>
      <c r="F109" s="313"/>
      <c r="G109" s="313"/>
      <c r="H109" s="313"/>
      <c r="I109" s="313"/>
      <c r="J109" s="313"/>
      <c r="K109" s="313"/>
      <c r="L109" s="313"/>
      <c r="M109" s="313"/>
      <c r="N109" s="313"/>
      <c r="O109" s="313"/>
      <c r="P109" s="313"/>
      <c r="Q109" s="313"/>
      <c r="R109" s="313"/>
      <c r="S109" s="313"/>
      <c r="T109" s="313"/>
      <c r="U109" s="313"/>
      <c r="V109" s="313"/>
      <c r="W109" s="313"/>
      <c r="X109" s="313"/>
      <c r="Y109" s="313"/>
      <c r="Z109" s="45"/>
      <c r="AA109" s="45"/>
      <c r="AB109" s="45"/>
      <c r="AC109" s="283"/>
      <c r="AD109" s="361">
        <f t="shared" si="5"/>
        <v>0</v>
      </c>
    </row>
    <row r="110" spans="1:30" s="53" customFormat="1" ht="12">
      <c r="A110" s="44"/>
      <c r="B110" s="70" t="s">
        <v>463</v>
      </c>
      <c r="C110" s="243" t="s">
        <v>470</v>
      </c>
      <c r="D110" s="228"/>
      <c r="E110" s="236"/>
      <c r="F110" s="320">
        <f>'Mode Operating Assumptions'!D20</f>
        <v>0.16806077048797802</v>
      </c>
      <c r="G110" s="320">
        <f>'Mode Operating Assumptions'!E20</f>
        <v>0.16835112174317465</v>
      </c>
      <c r="H110" s="320">
        <f>'Mode Operating Assumptions'!F20</f>
        <v>0.16864346984254222</v>
      </c>
      <c r="I110" s="320">
        <f>'Mode Operating Assumptions'!G20</f>
        <v>0.168937835456623</v>
      </c>
      <c r="J110" s="320">
        <f>'Mode Operating Assumptions'!H20</f>
        <v>0.16923423954224476</v>
      </c>
      <c r="K110" s="320">
        <f>'Mode Operating Assumptions'!I20</f>
        <v>0.16953270334749443</v>
      </c>
      <c r="L110" s="320">
        <f>'Mode Operating Assumptions'!J20</f>
        <v>0.16983324841679548</v>
      </c>
      <c r="M110" s="320">
        <f>'Mode Operating Assumptions'!K20</f>
        <v>0.1701358965960923</v>
      </c>
      <c r="N110" s="320">
        <f>'Mode Operating Assumptions'!L20</f>
        <v>0.17044067003814328</v>
      </c>
      <c r="O110" s="320">
        <f>'Mode Operating Assumptions'!M20</f>
        <v>0.17074759120792632</v>
      </c>
      <c r="P110" s="320">
        <f>'Mode Operating Assumptions'!N20</f>
        <v>0.17105668288815862</v>
      </c>
      <c r="Q110" s="320">
        <f>'Mode Operating Assumptions'!O20</f>
        <v>0.17136796818493436</v>
      </c>
      <c r="R110" s="320">
        <f>'Mode Operating Assumptions'!P20</f>
        <v>0.17168147053348229</v>
      </c>
      <c r="S110" s="320">
        <f>'Mode Operating Assumptions'!Q20</f>
        <v>0.17199721370404747</v>
      </c>
      <c r="T110" s="320">
        <f>'Mode Operating Assumptions'!R20</f>
        <v>0.17231522180789902</v>
      </c>
      <c r="U110" s="320">
        <f>'Mode Operating Assumptions'!S20</f>
        <v>0.17263551930346793</v>
      </c>
      <c r="V110" s="320">
        <f>'Mode Operating Assumptions'!T20</f>
        <v>0.17295813100261781</v>
      </c>
      <c r="W110" s="320">
        <f>'Mode Operating Assumptions'!U20</f>
        <v>0.17328308207705193</v>
      </c>
      <c r="X110" s="320">
        <f>'Mode Operating Assumptions'!V20</f>
        <v>0.17361039806486056</v>
      </c>
      <c r="Y110" s="320">
        <f>'Mode Operating Assumptions'!W20</f>
        <v>0.17394010487721123</v>
      </c>
      <c r="Z110" s="320">
        <f>'Mode Operating Assumptions'!X20</f>
        <v>0.17427222880518653</v>
      </c>
      <c r="AA110" s="320">
        <f>'Mode Operating Assumptions'!Y20</f>
        <v>0.17460679652677269</v>
      </c>
      <c r="AB110" s="320">
        <f>'Mode Operating Assumptions'!Z20</f>
        <v>0.17494383511400308</v>
      </c>
      <c r="AC110" s="322">
        <f>'Mode Operating Assumptions'!AA20</f>
        <v>0.1752833720402604</v>
      </c>
      <c r="AD110" s="373">
        <f t="shared" si="5"/>
        <v>4.1178695716089688</v>
      </c>
    </row>
    <row r="111" spans="1:30">
      <c r="C111" s="243" t="s">
        <v>513</v>
      </c>
      <c r="D111" s="268">
        <f>'Mode Operating Assumptions'!C144</f>
        <v>0.20730027548209368</v>
      </c>
      <c r="E111" s="236"/>
      <c r="G111" s="314"/>
      <c r="H111" s="25"/>
      <c r="I111" s="25"/>
      <c r="J111" s="25"/>
      <c r="K111" s="25"/>
      <c r="L111" s="25"/>
      <c r="M111" s="25"/>
      <c r="N111" s="25"/>
      <c r="O111" s="25"/>
      <c r="P111" s="25"/>
      <c r="Q111" s="25"/>
      <c r="R111" s="25"/>
      <c r="S111" s="25"/>
      <c r="T111" s="25"/>
      <c r="U111" s="25"/>
      <c r="V111" s="25"/>
      <c r="W111" s="25"/>
      <c r="X111" s="25"/>
      <c r="Y111" s="25"/>
      <c r="Z111" s="25"/>
      <c r="AA111" s="25"/>
      <c r="AB111" s="25"/>
      <c r="AC111" s="281"/>
      <c r="AD111" s="358">
        <f t="shared" si="5"/>
        <v>0</v>
      </c>
    </row>
    <row r="112" spans="1:30" s="53" customFormat="1" ht="12">
      <c r="A112" s="44"/>
      <c r="B112" s="70"/>
      <c r="C112" s="243" t="s">
        <v>461</v>
      </c>
      <c r="D112" s="266">
        <f>D60</f>
        <v>0.234375</v>
      </c>
      <c r="E112" s="236"/>
      <c r="F112" s="313"/>
      <c r="G112" s="313"/>
      <c r="H112" s="313"/>
      <c r="I112" s="313"/>
      <c r="J112" s="313"/>
      <c r="K112" s="313"/>
      <c r="L112" s="313"/>
      <c r="M112" s="313"/>
      <c r="N112" s="313"/>
      <c r="O112" s="313"/>
      <c r="P112" s="313"/>
      <c r="Q112" s="313"/>
      <c r="R112" s="313"/>
      <c r="S112" s="313"/>
      <c r="T112" s="313"/>
      <c r="U112" s="313"/>
      <c r="V112" s="313"/>
      <c r="W112" s="313"/>
      <c r="X112" s="313"/>
      <c r="Y112" s="313"/>
      <c r="Z112" s="45"/>
      <c r="AA112" s="45"/>
      <c r="AB112" s="45"/>
      <c r="AC112" s="283"/>
      <c r="AD112" s="361">
        <f t="shared" si="5"/>
        <v>0</v>
      </c>
    </row>
    <row r="113" spans="1:30" s="53" customFormat="1" ht="12">
      <c r="A113" s="44"/>
      <c r="B113" s="70"/>
      <c r="C113" s="243" t="s">
        <v>421</v>
      </c>
      <c r="D113" s="266">
        <f>'Mode Operating Assumptions'!C52</f>
        <v>0.234375</v>
      </c>
      <c r="E113" s="236"/>
      <c r="F113" s="313"/>
      <c r="G113" s="313"/>
      <c r="H113" s="313"/>
      <c r="I113" s="313"/>
      <c r="J113" s="313"/>
      <c r="K113" s="313"/>
      <c r="L113" s="313"/>
      <c r="M113" s="313"/>
      <c r="N113" s="313"/>
      <c r="O113" s="313"/>
      <c r="P113" s="313"/>
      <c r="Q113" s="313"/>
      <c r="R113" s="313"/>
      <c r="S113" s="313"/>
      <c r="T113" s="313"/>
      <c r="U113" s="313"/>
      <c r="V113" s="313"/>
      <c r="W113" s="313"/>
      <c r="X113" s="313"/>
      <c r="Y113" s="313"/>
      <c r="Z113" s="45"/>
      <c r="AA113" s="45"/>
      <c r="AB113" s="45"/>
      <c r="AC113" s="283"/>
      <c r="AD113" s="361">
        <f t="shared" si="5"/>
        <v>0</v>
      </c>
    </row>
    <row r="114" spans="1:30" s="53" customFormat="1" ht="12">
      <c r="A114" s="44"/>
      <c r="C114" s="243" t="s">
        <v>400</v>
      </c>
      <c r="D114" s="273">
        <f>'Mode Operating Assumptions'!C21</f>
        <v>13.91</v>
      </c>
      <c r="E114" s="236"/>
      <c r="F114" s="313"/>
      <c r="G114" s="313"/>
      <c r="H114" s="313"/>
      <c r="I114" s="313"/>
      <c r="J114" s="313"/>
      <c r="K114" s="313"/>
      <c r="L114" s="313"/>
      <c r="M114" s="313"/>
      <c r="N114" s="313"/>
      <c r="O114" s="313"/>
      <c r="P114" s="313"/>
      <c r="Q114" s="313"/>
      <c r="R114" s="313"/>
      <c r="S114" s="313"/>
      <c r="T114" s="313"/>
      <c r="U114" s="313"/>
      <c r="V114" s="313"/>
      <c r="W114" s="313"/>
      <c r="X114" s="313"/>
      <c r="Y114" s="313"/>
      <c r="Z114" s="45"/>
      <c r="AA114" s="45"/>
      <c r="AB114" s="45"/>
      <c r="AC114" s="283"/>
      <c r="AD114" s="361">
        <f t="shared" si="5"/>
        <v>0</v>
      </c>
    </row>
    <row r="115" spans="1:30" s="53" customFormat="1" ht="12">
      <c r="A115" s="44"/>
      <c r="B115" s="70"/>
      <c r="C115" s="243" t="s">
        <v>401</v>
      </c>
      <c r="D115" s="273">
        <f>'Mode Operating Assumptions'!C145</f>
        <v>13.91</v>
      </c>
      <c r="E115" s="236"/>
      <c r="F115" s="313"/>
      <c r="G115" s="313"/>
      <c r="H115" s="313"/>
      <c r="I115" s="313"/>
      <c r="J115" s="313"/>
      <c r="K115" s="313"/>
      <c r="L115" s="313"/>
      <c r="M115" s="313"/>
      <c r="N115" s="313"/>
      <c r="O115" s="313"/>
      <c r="P115" s="313"/>
      <c r="Q115" s="313"/>
      <c r="R115" s="313"/>
      <c r="S115" s="313"/>
      <c r="T115" s="313"/>
      <c r="U115" s="313"/>
      <c r="V115" s="313"/>
      <c r="W115" s="313"/>
      <c r="X115" s="313"/>
      <c r="Y115" s="313"/>
      <c r="Z115" s="45"/>
      <c r="AA115" s="45"/>
      <c r="AB115" s="45"/>
      <c r="AC115" s="283"/>
      <c r="AD115" s="361">
        <f t="shared" si="5"/>
        <v>0</v>
      </c>
    </row>
    <row r="116" spans="1:30" s="53" customFormat="1" ht="12">
      <c r="A116" s="44"/>
      <c r="B116" s="70"/>
      <c r="C116" s="243" t="s">
        <v>419</v>
      </c>
      <c r="D116" s="273">
        <f>D63</f>
        <v>26.21</v>
      </c>
      <c r="E116" s="236"/>
      <c r="F116" s="313"/>
      <c r="G116" s="313"/>
      <c r="H116" s="313"/>
      <c r="I116" s="313"/>
      <c r="J116" s="313"/>
      <c r="K116" s="313"/>
      <c r="L116" s="313"/>
      <c r="M116" s="313"/>
      <c r="N116" s="313"/>
      <c r="O116" s="313"/>
      <c r="P116" s="313"/>
      <c r="Q116" s="313"/>
      <c r="R116" s="313"/>
      <c r="S116" s="313"/>
      <c r="T116" s="313"/>
      <c r="U116" s="313"/>
      <c r="V116" s="313"/>
      <c r="W116" s="313"/>
      <c r="X116" s="313"/>
      <c r="Y116" s="313"/>
      <c r="Z116" s="45"/>
      <c r="AA116" s="45"/>
      <c r="AB116" s="45"/>
      <c r="AC116" s="283"/>
      <c r="AD116" s="361">
        <f t="shared" si="5"/>
        <v>0</v>
      </c>
    </row>
    <row r="117" spans="1:30" s="53" customFormat="1" ht="12">
      <c r="A117" s="44"/>
      <c r="B117" s="70"/>
      <c r="C117" s="243" t="s">
        <v>468</v>
      </c>
      <c r="D117" s="273">
        <f>'Mode Operating Assumptions'!C103</f>
        <v>13.91</v>
      </c>
      <c r="E117" s="236"/>
      <c r="F117" s="313"/>
      <c r="G117" s="313"/>
      <c r="H117" s="313"/>
      <c r="I117" s="313"/>
      <c r="J117" s="313"/>
      <c r="K117" s="313"/>
      <c r="L117" s="313"/>
      <c r="M117" s="313"/>
      <c r="N117" s="313"/>
      <c r="O117" s="313"/>
      <c r="P117" s="313"/>
      <c r="Q117" s="313"/>
      <c r="R117" s="313"/>
      <c r="S117" s="313"/>
      <c r="T117" s="313"/>
      <c r="U117" s="313"/>
      <c r="V117" s="313"/>
      <c r="W117" s="313"/>
      <c r="X117" s="313"/>
      <c r="Y117" s="313"/>
      <c r="Z117" s="45"/>
      <c r="AA117" s="45"/>
      <c r="AB117" s="45"/>
      <c r="AC117" s="283"/>
      <c r="AD117" s="361">
        <f t="shared" si="5"/>
        <v>0</v>
      </c>
    </row>
    <row r="118" spans="1:30" s="53" customFormat="1" ht="12">
      <c r="A118" s="44"/>
      <c r="B118" s="70"/>
      <c r="C118" s="78" t="s">
        <v>514</v>
      </c>
      <c r="D118" s="273"/>
      <c r="E118" s="236"/>
      <c r="F118" s="275">
        <f>(F110*$D$114)-($D$112*$D$117)</f>
        <v>-0.92243093251222597</v>
      </c>
      <c r="G118" s="275">
        <f t="shared" ref="G118:AC118" si="22">(G110*$D$114)-($D$112*$D$117)</f>
        <v>-0.91839214655244072</v>
      </c>
      <c r="H118" s="275">
        <f t="shared" si="22"/>
        <v>-0.91432558449023782</v>
      </c>
      <c r="I118" s="275">
        <f t="shared" si="22"/>
        <v>-0.91023095879837435</v>
      </c>
      <c r="J118" s="275">
        <f t="shared" si="22"/>
        <v>-0.90610797796737552</v>
      </c>
      <c r="K118" s="275">
        <f t="shared" si="22"/>
        <v>-0.9019563464363527</v>
      </c>
      <c r="L118" s="275">
        <f t="shared" si="22"/>
        <v>-0.89777576452237495</v>
      </c>
      <c r="M118" s="275">
        <f t="shared" si="22"/>
        <v>-0.89356592834835613</v>
      </c>
      <c r="N118" s="275">
        <f t="shared" si="22"/>
        <v>-0.88932652976942705</v>
      </c>
      <c r="O118" s="275">
        <f t="shared" si="22"/>
        <v>-0.88505725629774501</v>
      </c>
      <c r="P118" s="275">
        <f t="shared" si="22"/>
        <v>-0.88075779102571383</v>
      </c>
      <c r="Q118" s="275">
        <f t="shared" si="22"/>
        <v>-0.87642781254756308</v>
      </c>
      <c r="R118" s="275">
        <f t="shared" si="22"/>
        <v>-0.87206699487926143</v>
      </c>
      <c r="S118" s="275">
        <f t="shared" si="22"/>
        <v>-0.86767500737669989</v>
      </c>
      <c r="T118" s="275">
        <f t="shared" si="22"/>
        <v>-0.86325151465212491</v>
      </c>
      <c r="U118" s="275">
        <f t="shared" si="22"/>
        <v>-0.85879617648876128</v>
      </c>
      <c r="V118" s="275">
        <f t="shared" si="22"/>
        <v>-0.85430864775358639</v>
      </c>
      <c r="W118" s="275">
        <f t="shared" si="22"/>
        <v>-0.84978857830820775</v>
      </c>
      <c r="X118" s="275">
        <f t="shared" si="22"/>
        <v>-0.84523561291778959</v>
      </c>
      <c r="Y118" s="275">
        <f t="shared" si="22"/>
        <v>-0.84064939115799175</v>
      </c>
      <c r="Z118" s="275">
        <f t="shared" si="22"/>
        <v>-0.83602954731985557</v>
      </c>
      <c r="AA118" s="275">
        <f t="shared" si="22"/>
        <v>-0.83137571031259183</v>
      </c>
      <c r="AB118" s="275">
        <f t="shared" si="22"/>
        <v>-0.82668750356421716</v>
      </c>
      <c r="AC118" s="288">
        <f t="shared" si="22"/>
        <v>-0.82196454491997795</v>
      </c>
      <c r="AD118" s="369">
        <f t="shared" si="5"/>
        <v>-20.964184258919257</v>
      </c>
    </row>
    <row r="119" spans="1:30" s="53" customFormat="1" ht="12">
      <c r="A119" s="44"/>
      <c r="B119" s="70"/>
      <c r="C119" s="319" t="s">
        <v>155</v>
      </c>
      <c r="D119" s="228"/>
      <c r="E119" s="236"/>
      <c r="F119" s="275">
        <f>F118*F103</f>
        <v>0</v>
      </c>
      <c r="G119" s="275">
        <f t="shared" ref="G119:AC119" si="23">G118*G103</f>
        <v>-16760.656674582042</v>
      </c>
      <c r="H119" s="275">
        <f t="shared" si="23"/>
        <v>-16853.306336116308</v>
      </c>
      <c r="I119" s="275">
        <f t="shared" si="23"/>
        <v>-16945.610469531544</v>
      </c>
      <c r="J119" s="275">
        <f t="shared" si="23"/>
        <v>-17037.542193491714</v>
      </c>
      <c r="K119" s="275">
        <f t="shared" si="23"/>
        <v>-17129.073884775775</v>
      </c>
      <c r="L119" s="275">
        <f t="shared" si="23"/>
        <v>-17220.177160298394</v>
      </c>
      <c r="M119" s="275">
        <f t="shared" si="23"/>
        <v>-17310.822858688916</v>
      </c>
      <c r="N119" s="275">
        <f t="shared" si="23"/>
        <v>-17400.981021417218</v>
      </c>
      <c r="O119" s="275">
        <f t="shared" si="23"/>
        <v>-17490.620873454169</v>
      </c>
      <c r="P119" s="275">
        <f t="shared" si="23"/>
        <v>-17579.710803454709</v>
      </c>
      <c r="Q119" s="275">
        <f t="shared" si="23"/>
        <v>-17668.21834345052</v>
      </c>
      <c r="R119" s="275">
        <f t="shared" si="23"/>
        <v>-17756.110148039646</v>
      </c>
      <c r="S119" s="275">
        <f t="shared" si="23"/>
        <v>-17843.351973059129</v>
      </c>
      <c r="T119" s="275">
        <f t="shared" si="23"/>
        <v>-17929.908653727332</v>
      </c>
      <c r="U119" s="275">
        <f t="shared" si="23"/>
        <v>-18015.744082241374</v>
      </c>
      <c r="V119" s="275">
        <f t="shared" si="23"/>
        <v>-18100.821184815184</v>
      </c>
      <c r="W119" s="275">
        <f t="shared" si="23"/>
        <v>-18185.101898143013</v>
      </c>
      <c r="X119" s="275">
        <f t="shared" si="23"/>
        <v>-18268.547145272827</v>
      </c>
      <c r="Y119" s="275">
        <f t="shared" si="23"/>
        <v>-18351.116810873737</v>
      </c>
      <c r="Z119" s="275">
        <f t="shared" si="23"/>
        <v>-18432.769715880782</v>
      </c>
      <c r="AA119" s="275">
        <f t="shared" si="23"/>
        <v>-18513.46359150016</v>
      </c>
      <c r="AB119" s="275">
        <f t="shared" si="23"/>
        <v>-18593.155052557489</v>
      </c>
      <c r="AC119" s="288">
        <f t="shared" si="23"/>
        <v>-18671.799570170926</v>
      </c>
      <c r="AD119" s="369">
        <f t="shared" si="5"/>
        <v>-408058.61044554296</v>
      </c>
    </row>
    <row r="120" spans="1:30" s="53" customFormat="1" ht="12">
      <c r="A120" s="44"/>
      <c r="B120" s="70"/>
      <c r="C120" s="78" t="s">
        <v>515</v>
      </c>
      <c r="D120" s="273">
        <f>(D111*D115)-(D112*D117)</f>
        <v>-0.37660941804407688</v>
      </c>
      <c r="E120" s="236"/>
      <c r="F120" s="275">
        <f t="shared" ref="F120:AC120" si="24">$D120*F104</f>
        <v>0</v>
      </c>
      <c r="G120" s="275">
        <f t="shared" si="24"/>
        <v>-10309.682818956604</v>
      </c>
      <c r="H120" s="275">
        <f t="shared" si="24"/>
        <v>-10412.779647146172</v>
      </c>
      <c r="I120" s="275">
        <f t="shared" si="24"/>
        <v>-10516.907443617632</v>
      </c>
      <c r="J120" s="275">
        <f t="shared" si="24"/>
        <v>-10622.076518053809</v>
      </c>
      <c r="K120" s="275">
        <f t="shared" si="24"/>
        <v>-10728.297283234346</v>
      </c>
      <c r="L120" s="275">
        <f t="shared" si="24"/>
        <v>-10835.580256066691</v>
      </c>
      <c r="M120" s="275">
        <f t="shared" si="24"/>
        <v>-10943.93605862736</v>
      </c>
      <c r="N120" s="275">
        <f t="shared" si="24"/>
        <v>-11053.375419213631</v>
      </c>
      <c r="O120" s="275">
        <f t="shared" si="24"/>
        <v>-11163.909173405767</v>
      </c>
      <c r="P120" s="275">
        <f t="shared" si="24"/>
        <v>-11275.548265139825</v>
      </c>
      <c r="Q120" s="275">
        <f t="shared" si="24"/>
        <v>-11388.303747791224</v>
      </c>
      <c r="R120" s="275">
        <f t="shared" si="24"/>
        <v>-11502.186785269136</v>
      </c>
      <c r="S120" s="275">
        <f t="shared" si="24"/>
        <v>-11617.208653121828</v>
      </c>
      <c r="T120" s="275">
        <f t="shared" si="24"/>
        <v>-11733.380739653045</v>
      </c>
      <c r="U120" s="275">
        <f t="shared" si="24"/>
        <v>-11850.714547049576</v>
      </c>
      <c r="V120" s="275">
        <f t="shared" si="24"/>
        <v>-11969.221692520074</v>
      </c>
      <c r="W120" s="275">
        <f t="shared" si="24"/>
        <v>-12088.913909445273</v>
      </c>
      <c r="X120" s="275">
        <f t="shared" si="24"/>
        <v>-12209.803048539725</v>
      </c>
      <c r="Y120" s="275">
        <f t="shared" si="24"/>
        <v>-12331.901079025121</v>
      </c>
      <c r="Z120" s="275">
        <f t="shared" si="24"/>
        <v>-12455.220089815373</v>
      </c>
      <c r="AA120" s="275">
        <f t="shared" si="24"/>
        <v>-12579.772290713528</v>
      </c>
      <c r="AB120" s="275">
        <f t="shared" si="24"/>
        <v>-12705.570013620665</v>
      </c>
      <c r="AC120" s="288">
        <f t="shared" si="24"/>
        <v>-12832.625713756872</v>
      </c>
      <c r="AD120" s="369">
        <f t="shared" si="5"/>
        <v>-265126.91519378329</v>
      </c>
    </row>
    <row r="121" spans="1:30" s="53" customFormat="1" ht="12">
      <c r="A121" s="44"/>
      <c r="B121" s="70"/>
      <c r="C121" s="78" t="s">
        <v>516</v>
      </c>
      <c r="D121" s="228">
        <f>(D113*D116)-(D112*D117)</f>
        <v>2.8828125000000004</v>
      </c>
      <c r="E121" s="236"/>
      <c r="F121" s="275">
        <f t="shared" ref="F121:AC121" si="25">$D121*F106</f>
        <v>0</v>
      </c>
      <c r="G121" s="275">
        <f t="shared" si="25"/>
        <v>52611.328125000007</v>
      </c>
      <c r="H121" s="275">
        <f t="shared" si="25"/>
        <v>53137.441406250007</v>
      </c>
      <c r="I121" s="275">
        <f t="shared" si="25"/>
        <v>53668.815820312513</v>
      </c>
      <c r="J121" s="275">
        <f t="shared" si="25"/>
        <v>54205.50397851564</v>
      </c>
      <c r="K121" s="275">
        <f t="shared" si="25"/>
        <v>54747.559018300795</v>
      </c>
      <c r="L121" s="275">
        <f t="shared" si="25"/>
        <v>55295.034608483795</v>
      </c>
      <c r="M121" s="275">
        <f t="shared" si="25"/>
        <v>55847.984954568645</v>
      </c>
      <c r="N121" s="275">
        <f t="shared" si="25"/>
        <v>56406.464804114337</v>
      </c>
      <c r="O121" s="275">
        <f t="shared" si="25"/>
        <v>56970.529452155475</v>
      </c>
      <c r="P121" s="275">
        <f t="shared" si="25"/>
        <v>57540.23474667703</v>
      </c>
      <c r="Q121" s="275">
        <f t="shared" si="25"/>
        <v>58115.637094143793</v>
      </c>
      <c r="R121" s="275">
        <f t="shared" si="25"/>
        <v>58696.793465085233</v>
      </c>
      <c r="S121" s="275">
        <f t="shared" si="25"/>
        <v>59283.761399736097</v>
      </c>
      <c r="T121" s="275">
        <f t="shared" si="25"/>
        <v>59876.599013733452</v>
      </c>
      <c r="U121" s="275">
        <f t="shared" si="25"/>
        <v>60475.365003870786</v>
      </c>
      <c r="V121" s="275">
        <f t="shared" si="25"/>
        <v>61080.118653909492</v>
      </c>
      <c r="W121" s="275">
        <f t="shared" si="25"/>
        <v>61690.919840448587</v>
      </c>
      <c r="X121" s="275">
        <f t="shared" si="25"/>
        <v>62307.829038853073</v>
      </c>
      <c r="Y121" s="275">
        <f t="shared" si="25"/>
        <v>62930.907329241607</v>
      </c>
      <c r="Z121" s="275">
        <f t="shared" si="25"/>
        <v>63560.216402534024</v>
      </c>
      <c r="AA121" s="275">
        <f t="shared" si="25"/>
        <v>64195.818566559363</v>
      </c>
      <c r="AB121" s="275">
        <f t="shared" si="25"/>
        <v>64837.776752224963</v>
      </c>
      <c r="AC121" s="288">
        <f t="shared" si="25"/>
        <v>65486.154519747222</v>
      </c>
      <c r="AD121" s="369">
        <f t="shared" si="5"/>
        <v>1352968.7939944656</v>
      </c>
    </row>
    <row r="122" spans="1:30" s="53" customFormat="1" ht="12">
      <c r="A122" s="44"/>
      <c r="B122" s="70" t="s">
        <v>462</v>
      </c>
      <c r="C122" s="243" t="s">
        <v>403</v>
      </c>
      <c r="D122" s="228"/>
      <c r="E122" s="236"/>
      <c r="F122" s="326">
        <f>F58</f>
        <v>0.39100279786137265</v>
      </c>
      <c r="G122" s="326">
        <f t="shared" ref="G122:AC122" si="26">G58</f>
        <v>0.39205714599476826</v>
      </c>
      <c r="H122" s="326">
        <f t="shared" si="26"/>
        <v>0.39311874523828177</v>
      </c>
      <c r="I122" s="326">
        <f t="shared" si="26"/>
        <v>0.39418767065254157</v>
      </c>
      <c r="J122" s="326">
        <f t="shared" si="26"/>
        <v>0.39526399833776032</v>
      </c>
      <c r="K122" s="326">
        <f t="shared" si="26"/>
        <v>0.39634780545179538</v>
      </c>
      <c r="L122" s="326">
        <f t="shared" si="26"/>
        <v>0.39743917022858699</v>
      </c>
      <c r="M122" s="326">
        <f t="shared" si="26"/>
        <v>0.39853817199698321</v>
      </c>
      <c r="N122" s="326">
        <f t="shared" si="26"/>
        <v>0.39964489119996166</v>
      </c>
      <c r="O122" s="326">
        <f t="shared" si="26"/>
        <v>0.40075940941425758</v>
      </c>
      <c r="P122" s="326">
        <f t="shared" si="26"/>
        <v>0.40188180937040846</v>
      </c>
      <c r="Q122" s="326">
        <f t="shared" si="26"/>
        <v>0.40301217497322528</v>
      </c>
      <c r="R122" s="326">
        <f t="shared" si="26"/>
        <v>0.40415059132270104</v>
      </c>
      <c r="S122" s="326">
        <f t="shared" si="26"/>
        <v>0.40529714473536788</v>
      </c>
      <c r="T122" s="326">
        <f t="shared" si="26"/>
        <v>0.40645192276611369</v>
      </c>
      <c r="U122" s="326">
        <f t="shared" si="26"/>
        <v>0.40761501423047014</v>
      </c>
      <c r="V122" s="326">
        <f t="shared" si="26"/>
        <v>0.40878650922738302</v>
      </c>
      <c r="W122" s="326">
        <f t="shared" si="26"/>
        <v>0.40996649916247907</v>
      </c>
      <c r="X122" s="326">
        <f t="shared" si="26"/>
        <v>0.41115507677183999</v>
      </c>
      <c r="Y122" s="326">
        <f t="shared" si="26"/>
        <v>0.41235233614629774</v>
      </c>
      <c r="Z122" s="326">
        <f t="shared" si="26"/>
        <v>0.41355837275626389</v>
      </c>
      <c r="AA122" s="326">
        <f t="shared" si="26"/>
        <v>0.41477328347710757</v>
      </c>
      <c r="AB122" s="326">
        <f t="shared" si="26"/>
        <v>0.415997166615095</v>
      </c>
      <c r="AC122" s="410">
        <f t="shared" si="26"/>
        <v>0.41723012193390652</v>
      </c>
      <c r="AD122" s="374">
        <f t="shared" si="5"/>
        <v>9.6905878298649686</v>
      </c>
    </row>
    <row r="123" spans="1:30" s="53" customFormat="1" ht="12">
      <c r="A123" s="44"/>
      <c r="B123" s="70"/>
      <c r="C123" s="243" t="s">
        <v>471</v>
      </c>
      <c r="D123" s="228">
        <f>'Mode Operating Assumptions'!C152</f>
        <v>0.38127571701364549</v>
      </c>
      <c r="E123" s="236"/>
      <c r="F123" s="275"/>
      <c r="G123" s="275"/>
      <c r="H123" s="275"/>
      <c r="I123" s="275"/>
      <c r="J123" s="275"/>
      <c r="K123" s="275"/>
      <c r="L123" s="275"/>
      <c r="M123" s="275"/>
      <c r="N123" s="275"/>
      <c r="O123" s="275"/>
      <c r="P123" s="275"/>
      <c r="Q123" s="275"/>
      <c r="R123" s="275"/>
      <c r="S123" s="275"/>
      <c r="T123" s="275"/>
      <c r="U123" s="275"/>
      <c r="V123" s="275"/>
      <c r="W123" s="275"/>
      <c r="X123" s="275"/>
      <c r="Y123" s="275"/>
      <c r="Z123" s="275"/>
      <c r="AA123" s="275"/>
      <c r="AB123" s="275"/>
      <c r="AC123" s="288"/>
      <c r="AD123" s="369">
        <f t="shared" si="5"/>
        <v>0</v>
      </c>
    </row>
    <row r="124" spans="1:30" s="53" customFormat="1" ht="12">
      <c r="A124" s="44"/>
      <c r="B124" s="70"/>
      <c r="C124" s="243" t="s">
        <v>472</v>
      </c>
      <c r="D124" s="228">
        <f>'Mode Operating Assumptions'!C102</f>
        <v>0.17899999999999999</v>
      </c>
      <c r="E124" s="236"/>
      <c r="F124" s="275"/>
      <c r="G124" s="275"/>
      <c r="H124" s="275"/>
      <c r="I124" s="275"/>
      <c r="J124" s="275"/>
      <c r="K124" s="275"/>
      <c r="L124" s="275"/>
      <c r="M124" s="275"/>
      <c r="N124" s="275"/>
      <c r="O124" s="275"/>
      <c r="P124" s="275"/>
      <c r="Q124" s="275"/>
      <c r="R124" s="275"/>
      <c r="S124" s="275"/>
      <c r="T124" s="275"/>
      <c r="U124" s="275"/>
      <c r="V124" s="275"/>
      <c r="W124" s="275"/>
      <c r="X124" s="275"/>
      <c r="Y124" s="275"/>
      <c r="Z124" s="275"/>
      <c r="AA124" s="275"/>
      <c r="AB124" s="275"/>
      <c r="AC124" s="288"/>
      <c r="AD124" s="369">
        <f t="shared" si="5"/>
        <v>0</v>
      </c>
    </row>
    <row r="125" spans="1:30" s="53" customFormat="1" ht="12">
      <c r="A125" s="44"/>
      <c r="B125" s="70"/>
      <c r="C125" s="78" t="s">
        <v>517</v>
      </c>
      <c r="D125" s="228"/>
      <c r="E125" s="236"/>
      <c r="F125" s="275">
        <f>(F122*$D$114)-(($D$123*$D$115)+($D$124*$D$117))</f>
        <v>-2.3545863054081151</v>
      </c>
      <c r="G125" s="275">
        <f t="shared" ref="G125:AC125" si="27">(G122*$D$114)-(($D$123*$D$115)+($D$124*$D$117))</f>
        <v>-2.3399203228725822</v>
      </c>
      <c r="H125" s="275">
        <f t="shared" si="27"/>
        <v>-2.3251534773953093</v>
      </c>
      <c r="I125" s="275">
        <f t="shared" si="27"/>
        <v>-2.3102847248829557</v>
      </c>
      <c r="J125" s="275">
        <f t="shared" si="27"/>
        <v>-2.2953130067815621</v>
      </c>
      <c r="K125" s="275">
        <f t="shared" si="27"/>
        <v>-2.2802372498253352</v>
      </c>
      <c r="L125" s="275">
        <f t="shared" si="27"/>
        <v>-2.2650563657801639</v>
      </c>
      <c r="M125" s="275">
        <f t="shared" si="27"/>
        <v>-2.249769251181772</v>
      </c>
      <c r="N125" s="275">
        <f t="shared" si="27"/>
        <v>-2.2343747870683419</v>
      </c>
      <c r="O125" s="275">
        <f t="shared" si="27"/>
        <v>-2.2188718387074857</v>
      </c>
      <c r="P125" s="275">
        <f t="shared" si="27"/>
        <v>-2.2032592553174268</v>
      </c>
      <c r="Q125" s="275">
        <f t="shared" si="27"/>
        <v>-2.1875358697822449</v>
      </c>
      <c r="R125" s="275">
        <f t="shared" si="27"/>
        <v>-2.1717004983610373</v>
      </c>
      <c r="S125" s="275">
        <f t="shared" si="27"/>
        <v>-2.1557519403908412</v>
      </c>
      <c r="T125" s="275">
        <f t="shared" si="27"/>
        <v>-2.1396889779831669</v>
      </c>
      <c r="U125" s="275">
        <f t="shared" si="27"/>
        <v>-2.1235103757139688</v>
      </c>
      <c r="V125" s="275">
        <f t="shared" si="27"/>
        <v>-2.1072148803069108</v>
      </c>
      <c r="W125" s="275">
        <f t="shared" si="27"/>
        <v>-2.090801220309725</v>
      </c>
      <c r="X125" s="275">
        <f t="shared" si="27"/>
        <v>-2.0742681057635144</v>
      </c>
      <c r="Y125" s="275">
        <f t="shared" si="27"/>
        <v>-2.0576142278648071</v>
      </c>
      <c r="Z125" s="275">
        <f t="shared" si="27"/>
        <v>-2.0408382586201776</v>
      </c>
      <c r="AA125" s="275">
        <f t="shared" si="27"/>
        <v>-2.0239388504932423</v>
      </c>
      <c r="AB125" s="275">
        <f t="shared" si="27"/>
        <v>-2.0069146360438372</v>
      </c>
      <c r="AC125" s="288">
        <f t="shared" si="27"/>
        <v>-1.9897642275591689</v>
      </c>
      <c r="AD125" s="369">
        <f t="shared" si="5"/>
        <v>-52.2463686544137</v>
      </c>
    </row>
    <row r="126" spans="1:30" s="53" customFormat="1" ht="12">
      <c r="A126" s="44"/>
      <c r="D126" s="228"/>
      <c r="E126" s="236"/>
      <c r="F126" s="275">
        <f>$F125*F107</f>
        <v>0</v>
      </c>
      <c r="G126" s="275">
        <f t="shared" ref="G126:AC126" si="28">$F125*G107</f>
        <v>-85942.400147396198</v>
      </c>
      <c r="H126" s="275">
        <f t="shared" si="28"/>
        <v>-86801.824148870161</v>
      </c>
      <c r="I126" s="275">
        <f t="shared" si="28"/>
        <v>-87669.84239035887</v>
      </c>
      <c r="J126" s="275">
        <f t="shared" si="28"/>
        <v>-88546.540814262466</v>
      </c>
      <c r="K126" s="275">
        <f t="shared" si="28"/>
        <v>-89432.006222405078</v>
      </c>
      <c r="L126" s="275">
        <f t="shared" si="28"/>
        <v>-90326.326284629118</v>
      </c>
      <c r="M126" s="275">
        <f t="shared" si="28"/>
        <v>-91229.589547475436</v>
      </c>
      <c r="N126" s="275">
        <f t="shared" si="28"/>
        <v>-92141.885442950195</v>
      </c>
      <c r="O126" s="275">
        <f t="shared" si="28"/>
        <v>-93063.304297379698</v>
      </c>
      <c r="P126" s="275">
        <f t="shared" si="28"/>
        <v>-93993.937340353485</v>
      </c>
      <c r="Q126" s="275">
        <f t="shared" si="28"/>
        <v>-94933.87671375701</v>
      </c>
      <c r="R126" s="275">
        <f t="shared" si="28"/>
        <v>-95883.215480894578</v>
      </c>
      <c r="S126" s="275">
        <f t="shared" si="28"/>
        <v>-96842.047635703551</v>
      </c>
      <c r="T126" s="275">
        <f t="shared" si="28"/>
        <v>-97810.468112060582</v>
      </c>
      <c r="U126" s="275">
        <f t="shared" si="28"/>
        <v>-98788.572793181171</v>
      </c>
      <c r="V126" s="275">
        <f t="shared" si="28"/>
        <v>-99776.458521112989</v>
      </c>
      <c r="W126" s="275">
        <f t="shared" si="28"/>
        <v>-100774.22310632412</v>
      </c>
      <c r="X126" s="275">
        <f t="shared" si="28"/>
        <v>-101781.96533738736</v>
      </c>
      <c r="Y126" s="275">
        <f t="shared" si="28"/>
        <v>-102799.78499076124</v>
      </c>
      <c r="Z126" s="275">
        <f t="shared" si="28"/>
        <v>-103827.78284066885</v>
      </c>
      <c r="AA126" s="275">
        <f t="shared" si="28"/>
        <v>-104866.06066907554</v>
      </c>
      <c r="AB126" s="275">
        <f t="shared" si="28"/>
        <v>-105914.72127576631</v>
      </c>
      <c r="AC126" s="288">
        <f t="shared" si="28"/>
        <v>-106973.86848852398</v>
      </c>
      <c r="AD126" s="369">
        <f t="shared" si="5"/>
        <v>-2210120.7026012982</v>
      </c>
    </row>
    <row r="127" spans="1:30" s="53" customFormat="1" ht="12">
      <c r="A127" s="44"/>
      <c r="B127" s="70"/>
      <c r="C127" s="62" t="s">
        <v>429</v>
      </c>
      <c r="D127" s="228">
        <f>D101</f>
        <v>0</v>
      </c>
      <c r="E127" s="236"/>
      <c r="F127" s="275">
        <f>F126+F121+F120+F119</f>
        <v>0</v>
      </c>
      <c r="G127" s="275">
        <f t="shared" ref="G127:AC127" si="29">G126+G121+G120+G119</f>
        <v>-60401.411515934844</v>
      </c>
      <c r="H127" s="275">
        <f t="shared" si="29"/>
        <v>-60930.468725882631</v>
      </c>
      <c r="I127" s="275">
        <f t="shared" si="29"/>
        <v>-61463.544483195532</v>
      </c>
      <c r="J127" s="275">
        <f t="shared" si="29"/>
        <v>-62000.65554729235</v>
      </c>
      <c r="K127" s="275">
        <f t="shared" si="29"/>
        <v>-62541.818372114401</v>
      </c>
      <c r="L127" s="275">
        <f t="shared" si="29"/>
        <v>-63087.04909251041</v>
      </c>
      <c r="M127" s="275">
        <f t="shared" si="29"/>
        <v>-63636.363510223069</v>
      </c>
      <c r="N127" s="275">
        <f t="shared" si="29"/>
        <v>-64189.777079466709</v>
      </c>
      <c r="O127" s="275">
        <f t="shared" si="29"/>
        <v>-64747.304892084154</v>
      </c>
      <c r="P127" s="275">
        <f t="shared" si="29"/>
        <v>-65308.961662270987</v>
      </c>
      <c r="Q127" s="275">
        <f t="shared" si="29"/>
        <v>-65874.76171085496</v>
      </c>
      <c r="R127" s="275">
        <f t="shared" si="29"/>
        <v>-66444.718949118134</v>
      </c>
      <c r="S127" s="275">
        <f t="shared" si="29"/>
        <v>-67018.846862148406</v>
      </c>
      <c r="T127" s="275">
        <f t="shared" si="29"/>
        <v>-67597.158491707509</v>
      </c>
      <c r="U127" s="275">
        <f t="shared" si="29"/>
        <v>-68179.666418601337</v>
      </c>
      <c r="V127" s="275">
        <f t="shared" si="29"/>
        <v>-68766.382744538758</v>
      </c>
      <c r="W127" s="275">
        <f t="shared" si="29"/>
        <v>-69357.319073463819</v>
      </c>
      <c r="X127" s="275">
        <f t="shared" si="29"/>
        <v>-69952.486492346841</v>
      </c>
      <c r="Y127" s="275">
        <f t="shared" si="29"/>
        <v>-70551.895551418493</v>
      </c>
      <c r="Z127" s="275">
        <f t="shared" si="29"/>
        <v>-71155.556243830986</v>
      </c>
      <c r="AA127" s="275">
        <f t="shared" si="29"/>
        <v>-71763.477984729863</v>
      </c>
      <c r="AB127" s="275">
        <f t="shared" si="29"/>
        <v>-72375.669589719502</v>
      </c>
      <c r="AC127" s="288">
        <f t="shared" si="29"/>
        <v>-72992.139252704554</v>
      </c>
      <c r="AD127" s="369">
        <f t="shared" si="5"/>
        <v>-1530337.434246158</v>
      </c>
    </row>
    <row r="128" spans="1:30" s="53" customFormat="1" ht="12">
      <c r="A128" s="44"/>
      <c r="B128" s="70"/>
      <c r="D128" s="229"/>
      <c r="E128" s="236"/>
      <c r="F128" s="59"/>
      <c r="G128" s="59"/>
      <c r="H128" s="59"/>
      <c r="I128" s="59"/>
      <c r="J128" s="59"/>
      <c r="K128" s="59"/>
      <c r="L128" s="59"/>
      <c r="M128" s="59"/>
      <c r="N128" s="59"/>
      <c r="O128" s="59"/>
      <c r="P128" s="59"/>
      <c r="Q128" s="59"/>
      <c r="R128" s="59"/>
      <c r="S128" s="59"/>
      <c r="T128" s="59"/>
      <c r="U128" s="59"/>
      <c r="V128" s="59"/>
      <c r="W128" s="59"/>
      <c r="X128" s="59"/>
      <c r="Y128" s="59"/>
      <c r="AC128" s="283"/>
      <c r="AD128" s="361">
        <f t="shared" si="5"/>
        <v>0</v>
      </c>
    </row>
    <row r="129" spans="1:30" s="53" customFormat="1" ht="12">
      <c r="A129" s="44"/>
      <c r="B129" s="70"/>
      <c r="C129" s="63" t="s">
        <v>149</v>
      </c>
      <c r="D129" s="229"/>
      <c r="E129" s="236"/>
      <c r="F129" s="59"/>
      <c r="G129" s="59"/>
      <c r="H129" s="59"/>
      <c r="I129" s="59"/>
      <c r="J129" s="59"/>
      <c r="K129" s="59"/>
      <c r="L129" s="59"/>
      <c r="M129" s="59"/>
      <c r="N129" s="59"/>
      <c r="O129" s="59"/>
      <c r="P129" s="59"/>
      <c r="Q129" s="59"/>
      <c r="R129" s="59"/>
      <c r="S129" s="59"/>
      <c r="T129" s="59"/>
      <c r="U129" s="59"/>
      <c r="V129" s="59"/>
      <c r="W129" s="59"/>
      <c r="X129" s="59"/>
      <c r="Y129" s="59"/>
      <c r="AC129" s="283"/>
      <c r="AD129" s="361">
        <f t="shared" ref="AD129:AD166" si="30">SUM(F129:AC129)</f>
        <v>0</v>
      </c>
    </row>
    <row r="130" spans="1:30" s="53" customFormat="1" ht="12">
      <c r="A130" s="44"/>
      <c r="B130" s="70"/>
      <c r="C130" s="243" t="s">
        <v>476</v>
      </c>
      <c r="D130" s="273">
        <f>D96</f>
        <v>8.1905000000000001</v>
      </c>
      <c r="E130" s="236"/>
      <c r="F130" s="59"/>
      <c r="G130" s="59"/>
      <c r="H130" s="59"/>
      <c r="I130" s="59"/>
      <c r="J130" s="59"/>
      <c r="K130" s="59"/>
      <c r="L130" s="59"/>
      <c r="M130" s="59"/>
      <c r="N130" s="59"/>
      <c r="O130" s="59"/>
      <c r="P130" s="59"/>
      <c r="Q130" s="59"/>
      <c r="R130" s="59"/>
      <c r="S130" s="59"/>
      <c r="T130" s="59"/>
      <c r="U130" s="59"/>
      <c r="V130" s="59"/>
      <c r="W130" s="59"/>
      <c r="X130" s="59"/>
      <c r="Y130" s="59"/>
      <c r="AC130" s="283"/>
      <c r="AD130" s="361">
        <f t="shared" si="30"/>
        <v>0</v>
      </c>
    </row>
    <row r="131" spans="1:30" s="53" customFormat="1" ht="12">
      <c r="A131" s="44"/>
      <c r="B131" s="70"/>
      <c r="C131" s="244" t="s">
        <v>477</v>
      </c>
      <c r="D131" s="273">
        <f>D97</f>
        <v>2.107407271835358</v>
      </c>
      <c r="E131" s="236"/>
      <c r="F131" s="59"/>
      <c r="G131" s="59"/>
      <c r="H131" s="59"/>
      <c r="I131" s="59"/>
      <c r="J131" s="59"/>
      <c r="K131" s="59"/>
      <c r="L131" s="59"/>
      <c r="M131" s="59"/>
      <c r="N131" s="59"/>
      <c r="O131" s="59"/>
      <c r="P131" s="59"/>
      <c r="Q131" s="59"/>
      <c r="R131" s="59"/>
      <c r="S131" s="59"/>
      <c r="T131" s="59"/>
      <c r="U131" s="59"/>
      <c r="V131" s="59"/>
      <c r="W131" s="59"/>
      <c r="X131" s="59"/>
      <c r="Y131" s="59"/>
      <c r="AC131" s="283"/>
      <c r="AD131" s="361">
        <f t="shared" si="30"/>
        <v>0</v>
      </c>
    </row>
    <row r="132" spans="1:30" s="53" customFormat="1" ht="12">
      <c r="A132" s="44"/>
      <c r="B132" s="70"/>
      <c r="C132" s="244" t="s">
        <v>478</v>
      </c>
      <c r="D132" s="273">
        <f>'Mode Operating Assumptions'!C61</f>
        <v>0.1</v>
      </c>
      <c r="E132" s="236"/>
      <c r="F132" s="59"/>
      <c r="G132" s="59"/>
      <c r="H132" s="59"/>
      <c r="I132" s="59"/>
      <c r="J132" s="59"/>
      <c r="K132" s="59"/>
      <c r="L132" s="59"/>
      <c r="M132" s="59"/>
      <c r="N132" s="59"/>
      <c r="O132" s="59"/>
      <c r="P132" s="59"/>
      <c r="Q132" s="59"/>
      <c r="R132" s="59"/>
      <c r="S132" s="59"/>
      <c r="T132" s="59"/>
      <c r="U132" s="59"/>
      <c r="V132" s="59"/>
      <c r="W132" s="59"/>
      <c r="X132" s="59"/>
      <c r="Y132" s="59"/>
      <c r="AC132" s="283"/>
      <c r="AD132" s="361">
        <f t="shared" si="30"/>
        <v>0</v>
      </c>
    </row>
    <row r="133" spans="1:30" s="53" customFormat="1" ht="12">
      <c r="A133" s="44"/>
      <c r="B133" s="70"/>
      <c r="C133" s="243" t="s">
        <v>479</v>
      </c>
      <c r="D133" s="273">
        <f>'Mode Operating Assumptions'!C54</f>
        <v>0.05</v>
      </c>
      <c r="E133" s="236"/>
      <c r="F133" s="59"/>
      <c r="G133" s="59"/>
      <c r="H133" s="59"/>
      <c r="I133" s="59"/>
      <c r="J133" s="59"/>
      <c r="K133" s="59"/>
      <c r="L133" s="59"/>
      <c r="M133" s="59"/>
      <c r="N133" s="59"/>
      <c r="O133" s="59"/>
      <c r="P133" s="59"/>
      <c r="Q133" s="59"/>
      <c r="R133" s="59"/>
      <c r="S133" s="59"/>
      <c r="T133" s="59"/>
      <c r="U133" s="59"/>
      <c r="V133" s="59"/>
      <c r="W133" s="59"/>
      <c r="X133" s="59"/>
      <c r="Y133" s="59"/>
      <c r="AC133" s="283"/>
      <c r="AD133" s="361">
        <f t="shared" si="30"/>
        <v>0</v>
      </c>
    </row>
    <row r="134" spans="1:30" s="53" customFormat="1" ht="12">
      <c r="A134" s="44"/>
      <c r="B134" s="70"/>
      <c r="C134" s="244" t="s">
        <v>480</v>
      </c>
      <c r="D134" s="273">
        <f>'Mode Operating Assumptions'!C95*'Mode Operating Assumptions'!C86</f>
        <v>0.19708904109589043</v>
      </c>
      <c r="E134" s="236"/>
      <c r="F134" s="59"/>
      <c r="G134" s="59"/>
      <c r="H134" s="59"/>
      <c r="I134" s="59"/>
      <c r="J134" s="59"/>
      <c r="K134" s="59"/>
      <c r="L134" s="59"/>
      <c r="M134" s="59"/>
      <c r="N134" s="59"/>
      <c r="O134" s="59"/>
      <c r="P134" s="59"/>
      <c r="Q134" s="59"/>
      <c r="R134" s="59"/>
      <c r="S134" s="59"/>
      <c r="T134" s="59"/>
      <c r="U134" s="59"/>
      <c r="V134" s="59"/>
      <c r="W134" s="59"/>
      <c r="X134" s="59"/>
      <c r="Y134" s="59"/>
      <c r="AC134" s="283"/>
      <c r="AD134" s="361">
        <f t="shared" si="30"/>
        <v>0</v>
      </c>
    </row>
    <row r="135" spans="1:30" s="53" customFormat="1" ht="12">
      <c r="A135" s="44"/>
      <c r="B135" s="70" t="s">
        <v>463</v>
      </c>
      <c r="C135" s="243" t="s">
        <v>481</v>
      </c>
      <c r="D135" s="273">
        <f>D130-D134</f>
        <v>7.9934109589041098</v>
      </c>
      <c r="E135" s="236"/>
      <c r="F135" s="275">
        <f t="shared" ref="F135:AC139" si="31">$D135*F103</f>
        <v>0</v>
      </c>
      <c r="G135" s="275">
        <f t="shared" si="31"/>
        <v>145879.75</v>
      </c>
      <c r="H135" s="275">
        <f t="shared" si="31"/>
        <v>147338.54750000002</v>
      </c>
      <c r="I135" s="275">
        <f t="shared" si="31"/>
        <v>148811.932975</v>
      </c>
      <c r="J135" s="275">
        <f t="shared" si="31"/>
        <v>150300.05230475002</v>
      </c>
      <c r="K135" s="275">
        <f t="shared" si="31"/>
        <v>151803.05282779751</v>
      </c>
      <c r="L135" s="275">
        <f t="shared" si="31"/>
        <v>153321.08335607545</v>
      </c>
      <c r="M135" s="275">
        <f t="shared" si="31"/>
        <v>154854.29418963625</v>
      </c>
      <c r="N135" s="275">
        <f t="shared" si="31"/>
        <v>156402.83713153264</v>
      </c>
      <c r="O135" s="275">
        <f t="shared" si="31"/>
        <v>157966.86550284794</v>
      </c>
      <c r="P135" s="275">
        <f t="shared" si="31"/>
        <v>159546.53415787642</v>
      </c>
      <c r="Q135" s="275">
        <f t="shared" si="31"/>
        <v>161141.99949945518</v>
      </c>
      <c r="R135" s="275">
        <f t="shared" si="31"/>
        <v>162753.41949444971</v>
      </c>
      <c r="S135" s="275">
        <f t="shared" si="31"/>
        <v>164380.95368939426</v>
      </c>
      <c r="T135" s="275">
        <f t="shared" si="31"/>
        <v>166024.7632262882</v>
      </c>
      <c r="U135" s="275">
        <f t="shared" si="31"/>
        <v>167685.01085855105</v>
      </c>
      <c r="V135" s="275">
        <f t="shared" si="31"/>
        <v>169361.86096713657</v>
      </c>
      <c r="W135" s="275">
        <f t="shared" si="31"/>
        <v>171055.47957680793</v>
      </c>
      <c r="X135" s="275">
        <f t="shared" si="31"/>
        <v>172766.03437257602</v>
      </c>
      <c r="Y135" s="275">
        <f t="shared" si="31"/>
        <v>174493.69471630178</v>
      </c>
      <c r="Z135" s="275">
        <f t="shared" si="31"/>
        <v>176238.6316634648</v>
      </c>
      <c r="AA135" s="275">
        <f t="shared" si="31"/>
        <v>178001.01798009945</v>
      </c>
      <c r="AB135" s="275">
        <f t="shared" si="31"/>
        <v>179781.02815990045</v>
      </c>
      <c r="AC135" s="288">
        <f t="shared" si="31"/>
        <v>181578.83844149948</v>
      </c>
      <c r="AD135" s="369">
        <f t="shared" si="30"/>
        <v>3751487.6825914411</v>
      </c>
    </row>
    <row r="136" spans="1:30" s="53" customFormat="1" ht="12">
      <c r="A136" s="44"/>
      <c r="B136" s="70"/>
      <c r="C136" s="243" t="s">
        <v>482</v>
      </c>
      <c r="D136" s="273">
        <f>D131-D134</f>
        <v>1.9103182307394677</v>
      </c>
      <c r="E136" s="236"/>
      <c r="F136" s="275">
        <f t="shared" si="31"/>
        <v>0</v>
      </c>
      <c r="G136" s="275">
        <f t="shared" si="31"/>
        <v>52294.96156649293</v>
      </c>
      <c r="H136" s="275">
        <f t="shared" si="31"/>
        <v>52817.911182157855</v>
      </c>
      <c r="I136" s="275">
        <f t="shared" si="31"/>
        <v>53346.090293979432</v>
      </c>
      <c r="J136" s="275">
        <f t="shared" si="31"/>
        <v>53879.551196919238</v>
      </c>
      <c r="K136" s="275">
        <f t="shared" si="31"/>
        <v>54418.346708888421</v>
      </c>
      <c r="L136" s="275">
        <f t="shared" si="31"/>
        <v>54962.530175977306</v>
      </c>
      <c r="M136" s="275">
        <f t="shared" si="31"/>
        <v>55512.155477737091</v>
      </c>
      <c r="N136" s="275">
        <f t="shared" si="31"/>
        <v>56067.277032514459</v>
      </c>
      <c r="O136" s="275">
        <f t="shared" si="31"/>
        <v>56627.94980283959</v>
      </c>
      <c r="P136" s="275">
        <f t="shared" si="31"/>
        <v>57194.229300867992</v>
      </c>
      <c r="Q136" s="275">
        <f t="shared" si="31"/>
        <v>57766.171593876672</v>
      </c>
      <c r="R136" s="275">
        <f t="shared" si="31"/>
        <v>58343.83330981544</v>
      </c>
      <c r="S136" s="275">
        <f t="shared" si="31"/>
        <v>58927.271642913598</v>
      </c>
      <c r="T136" s="275">
        <f t="shared" si="31"/>
        <v>59516.544359342726</v>
      </c>
      <c r="U136" s="275">
        <f t="shared" si="31"/>
        <v>60111.709802936159</v>
      </c>
      <c r="V136" s="275">
        <f t="shared" si="31"/>
        <v>60712.826900965527</v>
      </c>
      <c r="W136" s="275">
        <f t="shared" si="31"/>
        <v>61319.955169975176</v>
      </c>
      <c r="X136" s="275">
        <f t="shared" si="31"/>
        <v>61933.154721674931</v>
      </c>
      <c r="Y136" s="275">
        <f t="shared" si="31"/>
        <v>62552.486268891669</v>
      </c>
      <c r="Z136" s="275">
        <f t="shared" si="31"/>
        <v>63178.011131580592</v>
      </c>
      <c r="AA136" s="275">
        <f t="shared" si="31"/>
        <v>63809.791242896412</v>
      </c>
      <c r="AB136" s="275">
        <f t="shared" si="31"/>
        <v>64447.889155325378</v>
      </c>
      <c r="AC136" s="288">
        <f t="shared" si="31"/>
        <v>65092.368046878626</v>
      </c>
      <c r="AD136" s="369">
        <f t="shared" si="30"/>
        <v>1344833.0160854473</v>
      </c>
    </row>
    <row r="137" spans="1:30" s="53" customFormat="1" ht="12">
      <c r="A137" s="44"/>
      <c r="B137" s="70"/>
      <c r="C137" s="243" t="s">
        <v>483</v>
      </c>
      <c r="D137" s="273">
        <f>D132-D134</f>
        <v>-9.7089041095890422E-2</v>
      </c>
      <c r="E137" s="236"/>
      <c r="F137" s="275">
        <f t="shared" si="31"/>
        <v>0</v>
      </c>
      <c r="G137" s="275">
        <f t="shared" si="31"/>
        <v>-2657.8125000000005</v>
      </c>
      <c r="H137" s="275">
        <f t="shared" si="31"/>
        <v>-2684.3906250000005</v>
      </c>
      <c r="I137" s="275">
        <f t="shared" si="31"/>
        <v>-2711.2345312500001</v>
      </c>
      <c r="J137" s="275">
        <f t="shared" si="31"/>
        <v>-2738.3468765625007</v>
      </c>
      <c r="K137" s="275">
        <f t="shared" si="31"/>
        <v>-2765.7303453281252</v>
      </c>
      <c r="L137" s="275">
        <f t="shared" si="31"/>
        <v>-2793.3876487814064</v>
      </c>
      <c r="M137" s="275">
        <f t="shared" si="31"/>
        <v>-2821.3215252692212</v>
      </c>
      <c r="N137" s="275">
        <f t="shared" si="31"/>
        <v>-2849.5347405219131</v>
      </c>
      <c r="O137" s="275">
        <f t="shared" si="31"/>
        <v>-2878.0300879271317</v>
      </c>
      <c r="P137" s="275">
        <f t="shared" si="31"/>
        <v>-2906.8103888064034</v>
      </c>
      <c r="Q137" s="275">
        <f t="shared" si="31"/>
        <v>-2935.8784926944672</v>
      </c>
      <c r="R137" s="275">
        <f t="shared" si="31"/>
        <v>-2965.237277621412</v>
      </c>
      <c r="S137" s="275">
        <f t="shared" si="31"/>
        <v>-2994.8896503976266</v>
      </c>
      <c r="T137" s="275">
        <f t="shared" si="31"/>
        <v>-3024.8385469016021</v>
      </c>
      <c r="U137" s="275">
        <f t="shared" si="31"/>
        <v>-3055.0869323706183</v>
      </c>
      <c r="V137" s="275">
        <f t="shared" si="31"/>
        <v>-3085.6378016943249</v>
      </c>
      <c r="W137" s="275">
        <f t="shared" si="31"/>
        <v>-3116.4941797112679</v>
      </c>
      <c r="X137" s="275">
        <f t="shared" si="31"/>
        <v>-3147.6591215083808</v>
      </c>
      <c r="Y137" s="275">
        <f t="shared" si="31"/>
        <v>-3179.1357127234642</v>
      </c>
      <c r="Z137" s="275">
        <f t="shared" si="31"/>
        <v>-3210.9270698506989</v>
      </c>
      <c r="AA137" s="275">
        <f t="shared" si="31"/>
        <v>-3243.0363405492067</v>
      </c>
      <c r="AB137" s="275">
        <f t="shared" si="31"/>
        <v>-3275.4667039546989</v>
      </c>
      <c r="AC137" s="288">
        <f t="shared" si="31"/>
        <v>-3308.2213709942457</v>
      </c>
      <c r="AD137" s="369">
        <f t="shared" si="30"/>
        <v>-68349.108470418738</v>
      </c>
    </row>
    <row r="138" spans="1:30" s="53" customFormat="1" ht="12">
      <c r="A138" s="44"/>
      <c r="B138" s="70"/>
      <c r="C138" s="243" t="s">
        <v>484</v>
      </c>
      <c r="D138" s="273">
        <f>D133-D134</f>
        <v>-0.14708904109589044</v>
      </c>
      <c r="E138" s="236"/>
      <c r="F138" s="275">
        <f t="shared" si="31"/>
        <v>0</v>
      </c>
      <c r="G138" s="275">
        <f t="shared" si="31"/>
        <v>-2684.3750000000005</v>
      </c>
      <c r="H138" s="275">
        <f t="shared" si="31"/>
        <v>-2711.2187500000005</v>
      </c>
      <c r="I138" s="275">
        <f t="shared" si="31"/>
        <v>-2738.3309375000008</v>
      </c>
      <c r="J138" s="275">
        <f t="shared" si="31"/>
        <v>-2765.7142468750008</v>
      </c>
      <c r="K138" s="275">
        <f t="shared" si="31"/>
        <v>-2793.3713893437507</v>
      </c>
      <c r="L138" s="275">
        <f t="shared" si="31"/>
        <v>-2821.3051032371877</v>
      </c>
      <c r="M138" s="275">
        <f t="shared" si="31"/>
        <v>-2849.51815426956</v>
      </c>
      <c r="N138" s="275">
        <f t="shared" si="31"/>
        <v>-2878.0133358122562</v>
      </c>
      <c r="O138" s="275">
        <f t="shared" si="31"/>
        <v>-2906.7934691703786</v>
      </c>
      <c r="P138" s="275">
        <f t="shared" si="31"/>
        <v>-2935.8614038620822</v>
      </c>
      <c r="Q138" s="275">
        <f t="shared" si="31"/>
        <v>-2965.2200179007032</v>
      </c>
      <c r="R138" s="275">
        <f t="shared" si="31"/>
        <v>-2994.8722180797099</v>
      </c>
      <c r="S138" s="275">
        <f t="shared" si="31"/>
        <v>-3024.8209402605075</v>
      </c>
      <c r="T138" s="275">
        <f t="shared" si="31"/>
        <v>-3055.0691496631125</v>
      </c>
      <c r="U138" s="275">
        <f t="shared" si="31"/>
        <v>-3085.6198411597434</v>
      </c>
      <c r="V138" s="275">
        <f t="shared" si="31"/>
        <v>-3116.4760395713411</v>
      </c>
      <c r="W138" s="275">
        <f t="shared" si="31"/>
        <v>-3147.6407999670546</v>
      </c>
      <c r="X138" s="275">
        <f t="shared" si="31"/>
        <v>-3179.1172079667249</v>
      </c>
      <c r="Y138" s="275">
        <f t="shared" si="31"/>
        <v>-3210.9083800463923</v>
      </c>
      <c r="Z138" s="275">
        <f t="shared" si="31"/>
        <v>-3243.0174638468561</v>
      </c>
      <c r="AA138" s="275">
        <f t="shared" si="31"/>
        <v>-3275.4476384853247</v>
      </c>
      <c r="AB138" s="275">
        <f t="shared" si="31"/>
        <v>-3308.2021148701783</v>
      </c>
      <c r="AC138" s="288">
        <f t="shared" si="31"/>
        <v>-3341.2841360188804</v>
      </c>
      <c r="AD138" s="369">
        <f t="shared" si="30"/>
        <v>-69032.197737906739</v>
      </c>
    </row>
    <row r="139" spans="1:30" s="53" customFormat="1" ht="12">
      <c r="A139" s="44"/>
      <c r="B139" s="70" t="s">
        <v>462</v>
      </c>
      <c r="C139" s="243" t="s">
        <v>486</v>
      </c>
      <c r="D139" s="273">
        <f>D130-D131-D134</f>
        <v>5.8860036870687518</v>
      </c>
      <c r="E139" s="236"/>
      <c r="F139" s="275">
        <f t="shared" si="31"/>
        <v>0</v>
      </c>
      <c r="G139" s="275">
        <f t="shared" si="31"/>
        <v>214839.13457800943</v>
      </c>
      <c r="H139" s="275">
        <f t="shared" si="31"/>
        <v>216987.52592378954</v>
      </c>
      <c r="I139" s="275">
        <f t="shared" si="31"/>
        <v>219157.40118302742</v>
      </c>
      <c r="J139" s="275">
        <f t="shared" si="31"/>
        <v>221348.97519485775</v>
      </c>
      <c r="K139" s="275">
        <f t="shared" si="31"/>
        <v>223562.46494680629</v>
      </c>
      <c r="L139" s="275">
        <f t="shared" si="31"/>
        <v>225798.08959627431</v>
      </c>
      <c r="M139" s="275">
        <f t="shared" si="31"/>
        <v>228056.07049223711</v>
      </c>
      <c r="N139" s="275">
        <f t="shared" si="31"/>
        <v>230336.63119715953</v>
      </c>
      <c r="O139" s="275">
        <f t="shared" si="31"/>
        <v>232639.99750913109</v>
      </c>
      <c r="P139" s="275">
        <f t="shared" si="31"/>
        <v>234966.3974842224</v>
      </c>
      <c r="Q139" s="275">
        <f t="shared" si="31"/>
        <v>237316.0614590646</v>
      </c>
      <c r="R139" s="275">
        <f t="shared" si="31"/>
        <v>239689.22207365526</v>
      </c>
      <c r="S139" s="275">
        <f t="shared" si="31"/>
        <v>242086.11429439185</v>
      </c>
      <c r="T139" s="275">
        <f t="shared" si="31"/>
        <v>244506.97543733576</v>
      </c>
      <c r="U139" s="275">
        <f t="shared" si="31"/>
        <v>246952.0451917091</v>
      </c>
      <c r="V139" s="275">
        <f t="shared" si="31"/>
        <v>249421.56564362618</v>
      </c>
      <c r="W139" s="275">
        <f t="shared" si="31"/>
        <v>251915.78130006246</v>
      </c>
      <c r="X139" s="275">
        <f t="shared" si="31"/>
        <v>254434.93911306307</v>
      </c>
      <c r="Y139" s="275">
        <f t="shared" si="31"/>
        <v>256979.28850419371</v>
      </c>
      <c r="Z139" s="275">
        <f t="shared" si="31"/>
        <v>259549.08138923565</v>
      </c>
      <c r="AA139" s="275">
        <f t="shared" si="31"/>
        <v>262144.57220312802</v>
      </c>
      <c r="AB139" s="275">
        <f t="shared" si="31"/>
        <v>264766.01792515931</v>
      </c>
      <c r="AC139" s="288">
        <f t="shared" si="31"/>
        <v>267413.67810441094</v>
      </c>
      <c r="AD139" s="369">
        <f t="shared" si="30"/>
        <v>5524868.0307445489</v>
      </c>
    </row>
    <row r="140" spans="1:30" s="53" customFormat="1" ht="12">
      <c r="A140" s="44"/>
      <c r="B140" s="70"/>
      <c r="C140" s="62" t="s">
        <v>611</v>
      </c>
      <c r="D140" s="273"/>
      <c r="E140" s="236"/>
      <c r="F140" s="309">
        <f t="shared" ref="F140:AC140" si="32">SUM(F135:F139)</f>
        <v>0</v>
      </c>
      <c r="G140" s="309">
        <f t="shared" si="32"/>
        <v>407671.65864450234</v>
      </c>
      <c r="H140" s="309">
        <f t="shared" si="32"/>
        <v>411748.37523094739</v>
      </c>
      <c r="I140" s="309">
        <f t="shared" si="32"/>
        <v>415865.85898325685</v>
      </c>
      <c r="J140" s="309">
        <f t="shared" si="32"/>
        <v>420024.51757308946</v>
      </c>
      <c r="K140" s="309">
        <f t="shared" si="32"/>
        <v>424224.76274882036</v>
      </c>
      <c r="L140" s="309">
        <f t="shared" si="32"/>
        <v>428467.01037630846</v>
      </c>
      <c r="M140" s="309">
        <f t="shared" si="32"/>
        <v>432751.68048007169</v>
      </c>
      <c r="N140" s="309">
        <f t="shared" si="32"/>
        <v>437079.19728487241</v>
      </c>
      <c r="O140" s="309">
        <f t="shared" si="32"/>
        <v>441449.98925772111</v>
      </c>
      <c r="P140" s="309">
        <f t="shared" si="32"/>
        <v>445864.48915029835</v>
      </c>
      <c r="Q140" s="309">
        <f t="shared" si="32"/>
        <v>450323.13404180133</v>
      </c>
      <c r="R140" s="309">
        <f t="shared" si="32"/>
        <v>454826.36538221932</v>
      </c>
      <c r="S140" s="309">
        <f t="shared" si="32"/>
        <v>459374.62903604156</v>
      </c>
      <c r="T140" s="309">
        <f t="shared" si="32"/>
        <v>463968.37532640196</v>
      </c>
      <c r="U140" s="309">
        <f t="shared" si="32"/>
        <v>468608.05907966592</v>
      </c>
      <c r="V140" s="309">
        <f t="shared" si="32"/>
        <v>473294.13967046258</v>
      </c>
      <c r="W140" s="309">
        <f t="shared" si="32"/>
        <v>478027.08106716722</v>
      </c>
      <c r="X140" s="309">
        <f t="shared" si="32"/>
        <v>482807.35187783896</v>
      </c>
      <c r="Y140" s="309">
        <f t="shared" si="32"/>
        <v>487635.42539661727</v>
      </c>
      <c r="Z140" s="309">
        <f t="shared" si="32"/>
        <v>492511.77965058351</v>
      </c>
      <c r="AA140" s="309">
        <f t="shared" si="32"/>
        <v>497436.89744708932</v>
      </c>
      <c r="AB140" s="309">
        <f t="shared" si="32"/>
        <v>502411.2664215602</v>
      </c>
      <c r="AC140" s="340">
        <f t="shared" si="32"/>
        <v>507435.37908577593</v>
      </c>
      <c r="AD140" s="370">
        <f t="shared" si="30"/>
        <v>10483807.423213113</v>
      </c>
    </row>
    <row r="141" spans="1:30" s="5" customFormat="1" ht="12">
      <c r="A141" s="58"/>
      <c r="B141" s="58"/>
      <c r="D141" s="231"/>
      <c r="E141" s="239"/>
      <c r="F141" s="88"/>
      <c r="G141" s="88"/>
      <c r="H141" s="88"/>
      <c r="I141" s="88"/>
      <c r="J141" s="88"/>
      <c r="K141" s="88"/>
      <c r="L141" s="88"/>
      <c r="M141" s="88"/>
      <c r="N141" s="88"/>
      <c r="O141" s="88"/>
      <c r="P141" s="88"/>
      <c r="Q141" s="88"/>
      <c r="R141" s="88"/>
      <c r="S141" s="88"/>
      <c r="T141" s="88"/>
      <c r="U141" s="88"/>
      <c r="V141" s="88"/>
      <c r="W141" s="88"/>
      <c r="X141" s="88"/>
      <c r="Y141" s="88"/>
      <c r="AC141" s="289"/>
      <c r="AD141" s="375">
        <f t="shared" si="30"/>
        <v>0</v>
      </c>
    </row>
    <row r="142" spans="1:30" s="70" customFormat="1" ht="12">
      <c r="A142" s="55"/>
      <c r="B142" s="55"/>
      <c r="C142" s="62"/>
      <c r="D142" s="229"/>
      <c r="E142" s="240"/>
      <c r="F142" s="55"/>
      <c r="G142" s="67"/>
      <c r="H142" s="53"/>
      <c r="I142" s="53"/>
      <c r="J142" s="53"/>
      <c r="K142" s="53"/>
      <c r="L142" s="53"/>
      <c r="M142" s="53"/>
      <c r="N142" s="53"/>
      <c r="O142" s="53"/>
      <c r="P142" s="53"/>
      <c r="Q142" s="53"/>
      <c r="R142" s="53"/>
      <c r="S142" s="53"/>
      <c r="T142" s="53"/>
      <c r="U142" s="53"/>
      <c r="AC142" s="290"/>
      <c r="AD142" s="376">
        <f t="shared" si="30"/>
        <v>0</v>
      </c>
    </row>
    <row r="143" spans="1:30" s="53" customFormat="1" ht="12">
      <c r="A143" s="64" t="s">
        <v>359</v>
      </c>
      <c r="B143" s="64"/>
      <c r="D143" s="228"/>
      <c r="E143" s="236"/>
      <c r="F143" s="45"/>
      <c r="G143" s="57"/>
      <c r="AC143" s="283"/>
      <c r="AD143" s="361">
        <f t="shared" si="30"/>
        <v>0</v>
      </c>
    </row>
    <row r="144" spans="1:30" s="53" customFormat="1" ht="12">
      <c r="A144" s="64"/>
      <c r="B144" s="64"/>
      <c r="D144" s="228"/>
      <c r="E144" s="236"/>
      <c r="F144" s="45"/>
      <c r="G144" s="57"/>
      <c r="AC144" s="283"/>
      <c r="AD144" s="361">
        <f t="shared" si="30"/>
        <v>0</v>
      </c>
    </row>
    <row r="145" spans="1:30" s="53" customFormat="1" ht="12">
      <c r="A145" s="45"/>
      <c r="B145" s="45"/>
      <c r="C145" s="64" t="s">
        <v>94</v>
      </c>
      <c r="D145" s="228"/>
      <c r="E145" s="236"/>
      <c r="F145" s="45"/>
      <c r="G145" s="57"/>
      <c r="AC145" s="283"/>
      <c r="AD145" s="361">
        <f t="shared" si="30"/>
        <v>0</v>
      </c>
    </row>
    <row r="146" spans="1:30" s="53" customFormat="1" ht="12">
      <c r="A146" s="45"/>
      <c r="B146" s="45"/>
      <c r="C146" s="55" t="s">
        <v>500</v>
      </c>
      <c r="D146" s="279">
        <v>0.5</v>
      </c>
      <c r="E146" s="236"/>
      <c r="F146" s="45"/>
      <c r="G146" s="57"/>
      <c r="AC146" s="283"/>
      <c r="AD146" s="361">
        <f t="shared" si="30"/>
        <v>0</v>
      </c>
    </row>
    <row r="147" spans="1:30" s="53" customFormat="1" ht="12">
      <c r="A147" s="45"/>
      <c r="B147" s="45"/>
      <c r="C147" s="78"/>
      <c r="D147" s="228"/>
      <c r="E147" s="236"/>
      <c r="F147" s="45"/>
      <c r="G147" s="57"/>
      <c r="AC147" s="283"/>
      <c r="AD147" s="361">
        <f t="shared" si="30"/>
        <v>0</v>
      </c>
    </row>
    <row r="148" spans="1:30" s="53" customFormat="1" ht="12">
      <c r="A148" s="44"/>
      <c r="B148" s="5" t="s">
        <v>367</v>
      </c>
      <c r="C148" s="78" t="s">
        <v>418</v>
      </c>
      <c r="D148" s="273"/>
      <c r="E148" s="236"/>
      <c r="F148" s="45">
        <f>F12</f>
        <v>0</v>
      </c>
      <c r="G148" s="45">
        <f t="shared" ref="G148:AC148" si="33">G12</f>
        <v>0</v>
      </c>
      <c r="H148" s="45">
        <f t="shared" si="33"/>
        <v>36580.13375127397</v>
      </c>
      <c r="I148" s="45">
        <f t="shared" si="33"/>
        <v>36325.536048677641</v>
      </c>
      <c r="J148" s="45">
        <f t="shared" si="33"/>
        <v>36070.938346081319</v>
      </c>
      <c r="K148" s="45">
        <f t="shared" si="33"/>
        <v>35816.340643484989</v>
      </c>
      <c r="L148" s="45">
        <f t="shared" si="33"/>
        <v>35561.742940888667</v>
      </c>
      <c r="M148" s="45">
        <f t="shared" si="33"/>
        <v>35307.145238292331</v>
      </c>
      <c r="N148" s="45">
        <f t="shared" si="33"/>
        <v>35052.547535696009</v>
      </c>
      <c r="O148" s="45">
        <f t="shared" si="33"/>
        <v>35569.516811194095</v>
      </c>
      <c r="P148" s="45">
        <f t="shared" si="33"/>
        <v>36086.486086692181</v>
      </c>
      <c r="Q148" s="45">
        <f t="shared" si="33"/>
        <v>36603.455362190267</v>
      </c>
      <c r="R148" s="45">
        <f t="shared" si="33"/>
        <v>37120.42463768836</v>
      </c>
      <c r="S148" s="45">
        <f t="shared" si="33"/>
        <v>37637.393913186439</v>
      </c>
      <c r="T148" s="45">
        <f t="shared" si="33"/>
        <v>38154.363188684525</v>
      </c>
      <c r="U148" s="45">
        <f t="shared" si="33"/>
        <v>38671.332464182618</v>
      </c>
      <c r="V148" s="45">
        <f t="shared" si="33"/>
        <v>39188.301739680697</v>
      </c>
      <c r="W148" s="45">
        <f t="shared" si="33"/>
        <v>39705.271015178783</v>
      </c>
      <c r="X148" s="45">
        <f t="shared" si="33"/>
        <v>40222.240290676877</v>
      </c>
      <c r="Y148" s="45">
        <f t="shared" si="33"/>
        <v>40739.209566174963</v>
      </c>
      <c r="Z148" s="45">
        <f t="shared" si="33"/>
        <v>41256.178841673056</v>
      </c>
      <c r="AA148" s="45">
        <f t="shared" si="33"/>
        <v>41773.148117171128</v>
      </c>
      <c r="AB148" s="45">
        <f t="shared" si="33"/>
        <v>42290.117392669228</v>
      </c>
      <c r="AC148" s="283">
        <f t="shared" si="33"/>
        <v>42807.0866681673</v>
      </c>
      <c r="AD148" s="361">
        <f t="shared" si="30"/>
        <v>838538.91059960541</v>
      </c>
    </row>
    <row r="149" spans="1:30" s="53" customFormat="1" ht="12">
      <c r="A149" s="44"/>
      <c r="B149" s="5"/>
      <c r="C149" s="319" t="s">
        <v>155</v>
      </c>
      <c r="D149" s="273"/>
      <c r="E149" s="236"/>
      <c r="F149" s="275">
        <f>$D$146*F64</f>
        <v>-3.0038325277040578</v>
      </c>
      <c r="G149" s="275">
        <f t="shared" ref="G149:AC149" si="34">$D$146*G64</f>
        <v>-2.9964995364362914</v>
      </c>
      <c r="H149" s="275">
        <f t="shared" si="34"/>
        <v>-2.989116113697655</v>
      </c>
      <c r="I149" s="275">
        <f t="shared" si="34"/>
        <v>-2.9816817374414781</v>
      </c>
      <c r="J149" s="275">
        <f t="shared" si="34"/>
        <v>-2.9741958783907814</v>
      </c>
      <c r="K149" s="275">
        <f t="shared" si="34"/>
        <v>-2.9666579999126679</v>
      </c>
      <c r="L149" s="275">
        <f t="shared" si="34"/>
        <v>-2.9590675578900822</v>
      </c>
      <c r="M149" s="275">
        <f t="shared" si="34"/>
        <v>-2.9514240005908863</v>
      </c>
      <c r="N149" s="275">
        <f t="shared" si="34"/>
        <v>-2.9437267685341713</v>
      </c>
      <c r="O149" s="275">
        <f t="shared" si="34"/>
        <v>-2.9359752943537432</v>
      </c>
      <c r="P149" s="275">
        <f t="shared" si="34"/>
        <v>-2.9281690026587137</v>
      </c>
      <c r="Q149" s="275">
        <f t="shared" si="34"/>
        <v>-2.9203073098911227</v>
      </c>
      <c r="R149" s="275">
        <f t="shared" si="34"/>
        <v>-2.9123896241805189</v>
      </c>
      <c r="S149" s="275">
        <f t="shared" si="34"/>
        <v>-2.9044153451954209</v>
      </c>
      <c r="T149" s="275">
        <f t="shared" si="34"/>
        <v>-2.8963838639915838</v>
      </c>
      <c r="U149" s="275">
        <f t="shared" si="34"/>
        <v>-2.8882945628569847</v>
      </c>
      <c r="V149" s="275">
        <f t="shared" si="34"/>
        <v>-2.8801468151534557</v>
      </c>
      <c r="W149" s="275">
        <f t="shared" si="34"/>
        <v>-2.8719399851548628</v>
      </c>
      <c r="X149" s="275">
        <f t="shared" si="34"/>
        <v>-2.8636734278817575</v>
      </c>
      <c r="Y149" s="275">
        <f t="shared" si="34"/>
        <v>-2.8553464889324038</v>
      </c>
      <c r="Z149" s="275">
        <f t="shared" si="34"/>
        <v>-2.8469585043100891</v>
      </c>
      <c r="AA149" s="275">
        <f t="shared" si="34"/>
        <v>-2.8385088002466214</v>
      </c>
      <c r="AB149" s="275">
        <f t="shared" si="34"/>
        <v>-2.8299966930219189</v>
      </c>
      <c r="AC149" s="288">
        <f t="shared" si="34"/>
        <v>-2.8214214887795848</v>
      </c>
      <c r="AD149" s="369">
        <f t="shared" si="30"/>
        <v>-69.960129327206857</v>
      </c>
    </row>
    <row r="150" spans="1:30" s="53" customFormat="1" ht="12">
      <c r="A150" s="44"/>
      <c r="B150" s="70"/>
      <c r="C150" s="78" t="s">
        <v>417</v>
      </c>
      <c r="D150" s="273"/>
      <c r="E150" s="236"/>
      <c r="F150" s="275">
        <f>F149*F148</f>
        <v>0</v>
      </c>
      <c r="G150" s="275">
        <f t="shared" ref="G150:AC150" si="35">G149*G148</f>
        <v>0</v>
      </c>
      <c r="H150" s="275">
        <f t="shared" si="35"/>
        <v>-109342.26723714847</v>
      </c>
      <c r="I150" s="275">
        <f t="shared" si="35"/>
        <v>-108311.18743911419</v>
      </c>
      <c r="J150" s="275">
        <f t="shared" si="35"/>
        <v>-107282.03615860305</v>
      </c>
      <c r="K150" s="275">
        <f t="shared" si="35"/>
        <v>-106254.83349759197</v>
      </c>
      <c r="L150" s="275">
        <f t="shared" si="35"/>
        <v>-105229.5998384103</v>
      </c>
      <c r="M150" s="275">
        <f t="shared" si="35"/>
        <v>-104206.35584864421</v>
      </c>
      <c r="N150" s="275">
        <f t="shared" si="35"/>
        <v>-103185.12248614484</v>
      </c>
      <c r="O150" s="275">
        <f t="shared" si="35"/>
        <v>-104431.222589766</v>
      </c>
      <c r="P150" s="275">
        <f t="shared" si="35"/>
        <v>-105667.32997392699</v>
      </c>
      <c r="Q150" s="275">
        <f t="shared" si="35"/>
        <v>-106893.33826147765</v>
      </c>
      <c r="R150" s="275">
        <f t="shared" si="35"/>
        <v>-108109.13955997847</v>
      </c>
      <c r="S150" s="275">
        <f t="shared" si="35"/>
        <v>-109314.62443462343</v>
      </c>
      <c r="T150" s="275">
        <f t="shared" si="35"/>
        <v>-110509.68188058033</v>
      </c>
      <c r="U150" s="275">
        <f t="shared" si="35"/>
        <v>-111694.19929473345</v>
      </c>
      <c r="V150" s="275">
        <f t="shared" si="35"/>
        <v>-112868.06244681399</v>
      </c>
      <c r="W150" s="275">
        <f t="shared" si="35"/>
        <v>-114031.15544990236</v>
      </c>
      <c r="X150" s="275">
        <f t="shared" si="35"/>
        <v>-115183.36073028638</v>
      </c>
      <c r="Y150" s="275">
        <f t="shared" si="35"/>
        <v>-116324.55899665908</v>
      </c>
      <c r="Z150" s="275">
        <f t="shared" si="35"/>
        <v>-117454.62920863907</v>
      </c>
      <c r="AA150" s="275">
        <f t="shared" si="35"/>
        <v>-118573.44854459583</v>
      </c>
      <c r="AB150" s="275">
        <f t="shared" si="35"/>
        <v>-119680.89236876265</v>
      </c>
      <c r="AC150" s="288">
        <f t="shared" si="35"/>
        <v>-120776.8341976173</v>
      </c>
      <c r="AD150" s="369">
        <f t="shared" si="30"/>
        <v>-2435323.8804440196</v>
      </c>
    </row>
    <row r="151" spans="1:30" s="53" customFormat="1" ht="12">
      <c r="A151" s="44"/>
      <c r="B151" s="70"/>
      <c r="C151" s="78" t="s">
        <v>491</v>
      </c>
      <c r="D151" s="273">
        <f>$D$146*(D72)</f>
        <v>3.0165463640823211</v>
      </c>
      <c r="E151" s="236"/>
      <c r="F151" s="275">
        <f>$D151*F148</f>
        <v>0</v>
      </c>
      <c r="G151" s="275">
        <f t="shared" ref="G151:AC151" si="36">$D151*G148</f>
        <v>0</v>
      </c>
      <c r="H151" s="275">
        <f t="shared" si="36"/>
        <v>110345.66946505049</v>
      </c>
      <c r="I151" s="275">
        <f t="shared" si="36"/>
        <v>109577.66369097983</v>
      </c>
      <c r="J151" s="275">
        <f t="shared" si="36"/>
        <v>108809.65791690917</v>
      </c>
      <c r="K151" s="275">
        <f t="shared" si="36"/>
        <v>108041.6521428385</v>
      </c>
      <c r="L151" s="275">
        <f t="shared" si="36"/>
        <v>107273.64636876786</v>
      </c>
      <c r="M151" s="275">
        <f t="shared" si="36"/>
        <v>106505.64059469716</v>
      </c>
      <c r="N151" s="275">
        <f t="shared" si="36"/>
        <v>105737.63482062652</v>
      </c>
      <c r="O151" s="275">
        <f t="shared" si="36"/>
        <v>107297.09660897254</v>
      </c>
      <c r="P151" s="275">
        <f t="shared" si="36"/>
        <v>108856.55839731857</v>
      </c>
      <c r="Q151" s="275">
        <f t="shared" si="36"/>
        <v>110416.02018566459</v>
      </c>
      <c r="R151" s="275">
        <f t="shared" si="36"/>
        <v>111975.48197401063</v>
      </c>
      <c r="S151" s="275">
        <f t="shared" si="36"/>
        <v>113534.94376235663</v>
      </c>
      <c r="T151" s="275">
        <f t="shared" si="36"/>
        <v>115094.40555070266</v>
      </c>
      <c r="U151" s="275">
        <f t="shared" si="36"/>
        <v>116653.86733904871</v>
      </c>
      <c r="V151" s="275">
        <f t="shared" si="36"/>
        <v>118213.32912739471</v>
      </c>
      <c r="W151" s="275">
        <f t="shared" si="36"/>
        <v>119772.79091574073</v>
      </c>
      <c r="X151" s="275">
        <f t="shared" si="36"/>
        <v>121332.25270408677</v>
      </c>
      <c r="Y151" s="275">
        <f t="shared" si="36"/>
        <v>122891.7144924328</v>
      </c>
      <c r="Z151" s="275">
        <f t="shared" si="36"/>
        <v>124451.17628077885</v>
      </c>
      <c r="AA151" s="275">
        <f t="shared" si="36"/>
        <v>126010.63806912482</v>
      </c>
      <c r="AB151" s="275">
        <f t="shared" si="36"/>
        <v>127570.09985747089</v>
      </c>
      <c r="AC151" s="288">
        <f t="shared" si="36"/>
        <v>129129.56164581687</v>
      </c>
      <c r="AD151" s="369">
        <f t="shared" si="30"/>
        <v>2529491.5019107903</v>
      </c>
    </row>
    <row r="152" spans="1:30" s="53" customFormat="1" ht="12">
      <c r="A152" s="45"/>
      <c r="B152" s="45"/>
      <c r="C152" s="78"/>
      <c r="D152" s="273"/>
      <c r="E152" s="236"/>
      <c r="F152" s="275"/>
      <c r="G152" s="275"/>
      <c r="H152" s="275"/>
      <c r="I152" s="275"/>
      <c r="J152" s="275"/>
      <c r="K152" s="275"/>
      <c r="L152" s="275"/>
      <c r="M152" s="275"/>
      <c r="N152" s="275"/>
      <c r="O152" s="275"/>
      <c r="P152" s="275"/>
      <c r="Q152" s="275"/>
      <c r="R152" s="275"/>
      <c r="S152" s="275"/>
      <c r="T152" s="275"/>
      <c r="U152" s="275"/>
      <c r="V152" s="275"/>
      <c r="W152" s="275"/>
      <c r="X152" s="275"/>
      <c r="Y152" s="275"/>
      <c r="Z152" s="275"/>
      <c r="AA152" s="275"/>
      <c r="AB152" s="275"/>
      <c r="AC152" s="288"/>
      <c r="AD152" s="369">
        <f t="shared" si="30"/>
        <v>0</v>
      </c>
    </row>
    <row r="153" spans="1:30" s="53" customFormat="1" ht="12">
      <c r="A153" s="45"/>
      <c r="B153" s="5" t="s">
        <v>277</v>
      </c>
      <c r="C153" s="78"/>
      <c r="D153" s="273"/>
      <c r="E153" s="236"/>
      <c r="F153" s="275"/>
      <c r="G153" s="275"/>
      <c r="H153" s="275"/>
      <c r="I153" s="275"/>
      <c r="J153" s="275"/>
      <c r="K153" s="275"/>
      <c r="L153" s="275"/>
      <c r="M153" s="275"/>
      <c r="N153" s="275"/>
      <c r="O153" s="275"/>
      <c r="P153" s="275"/>
      <c r="Q153" s="275"/>
      <c r="R153" s="275"/>
      <c r="S153" s="275"/>
      <c r="T153" s="275"/>
      <c r="U153" s="275"/>
      <c r="V153" s="275"/>
      <c r="W153" s="275"/>
      <c r="X153" s="275"/>
      <c r="Y153" s="275"/>
      <c r="Z153" s="275"/>
      <c r="AA153" s="275"/>
      <c r="AB153" s="275"/>
      <c r="AC153" s="288"/>
      <c r="AD153" s="369">
        <f t="shared" si="30"/>
        <v>0</v>
      </c>
    </row>
    <row r="154" spans="1:30" s="53" customFormat="1" ht="12">
      <c r="A154" s="44"/>
      <c r="B154" s="5"/>
      <c r="C154" s="78" t="s">
        <v>427</v>
      </c>
      <c r="D154" s="273"/>
      <c r="E154" s="236"/>
      <c r="F154" s="45">
        <f>F17</f>
        <v>0</v>
      </c>
      <c r="G154" s="45">
        <f t="shared" ref="G154:AC154" si="37">G17</f>
        <v>0</v>
      </c>
      <c r="H154" s="45">
        <f t="shared" si="37"/>
        <v>1281.3797348296043</v>
      </c>
      <c r="I154" s="45">
        <f t="shared" si="37"/>
        <v>1272.4613328669609</v>
      </c>
      <c r="J154" s="45">
        <f t="shared" si="37"/>
        <v>1263.5429309043182</v>
      </c>
      <c r="K154" s="45">
        <f t="shared" si="37"/>
        <v>1254.624528941675</v>
      </c>
      <c r="L154" s="45">
        <f t="shared" si="37"/>
        <v>1245.706126979032</v>
      </c>
      <c r="M154" s="45">
        <f t="shared" si="37"/>
        <v>1236.787725016389</v>
      </c>
      <c r="N154" s="45">
        <f t="shared" si="37"/>
        <v>1227.8693230537458</v>
      </c>
      <c r="O154" s="45">
        <f t="shared" si="37"/>
        <v>1245.9784409059935</v>
      </c>
      <c r="P154" s="45">
        <f t="shared" si="37"/>
        <v>1264.0875587582404</v>
      </c>
      <c r="Q154" s="45">
        <f t="shared" si="37"/>
        <v>1282.1966766104879</v>
      </c>
      <c r="R154" s="45">
        <f t="shared" si="37"/>
        <v>1300.3057944627353</v>
      </c>
      <c r="S154" s="45">
        <f t="shared" si="37"/>
        <v>1318.4149123149823</v>
      </c>
      <c r="T154" s="45">
        <f t="shared" si="37"/>
        <v>1336.5240301672295</v>
      </c>
      <c r="U154" s="45">
        <f t="shared" si="37"/>
        <v>1354.6331480194772</v>
      </c>
      <c r="V154" s="45">
        <f t="shared" si="37"/>
        <v>1372.7422658717246</v>
      </c>
      <c r="W154" s="45">
        <f t="shared" si="37"/>
        <v>1390.8513837239718</v>
      </c>
      <c r="X154" s="45">
        <f t="shared" si="37"/>
        <v>1408.9605015762195</v>
      </c>
      <c r="Y154" s="45">
        <f t="shared" si="37"/>
        <v>1427.0696194284669</v>
      </c>
      <c r="Z154" s="45">
        <f t="shared" si="37"/>
        <v>1445.1787372807137</v>
      </c>
      <c r="AA154" s="45">
        <f t="shared" si="37"/>
        <v>1463.2878551329611</v>
      </c>
      <c r="AB154" s="45">
        <f t="shared" si="37"/>
        <v>1481.3969729852085</v>
      </c>
      <c r="AC154" s="283">
        <f t="shared" si="37"/>
        <v>1499.5060908374558</v>
      </c>
      <c r="AD154" s="361">
        <f t="shared" si="30"/>
        <v>29373.505690667596</v>
      </c>
    </row>
    <row r="155" spans="1:30" s="53" customFormat="1" ht="12">
      <c r="A155" s="44"/>
      <c r="B155" s="5"/>
      <c r="C155" s="78" t="s">
        <v>443</v>
      </c>
      <c r="D155" s="273"/>
      <c r="E155" s="236"/>
      <c r="F155" s="275">
        <f>F91*$D$146</f>
        <v>-1.1772931527040575</v>
      </c>
      <c r="G155" s="275">
        <f t="shared" ref="G155:AC155" si="38">G91*$D$146</f>
        <v>-1.1699601614362911</v>
      </c>
      <c r="H155" s="275">
        <f t="shared" si="38"/>
        <v>-1.1625767386976547</v>
      </c>
      <c r="I155" s="275">
        <f t="shared" si="38"/>
        <v>-1.1551423624414778</v>
      </c>
      <c r="J155" s="275">
        <f t="shared" si="38"/>
        <v>-1.1476565033907811</v>
      </c>
      <c r="K155" s="275">
        <f t="shared" si="38"/>
        <v>-1.1401186249126676</v>
      </c>
      <c r="L155" s="275">
        <f t="shared" si="38"/>
        <v>-1.1325281828900819</v>
      </c>
      <c r="M155" s="275">
        <f t="shared" si="38"/>
        <v>-1.124884625590886</v>
      </c>
      <c r="N155" s="275">
        <f t="shared" si="38"/>
        <v>-1.117187393534171</v>
      </c>
      <c r="O155" s="275">
        <f t="shared" si="38"/>
        <v>-1.1094359193537429</v>
      </c>
      <c r="P155" s="275">
        <f t="shared" si="38"/>
        <v>-1.1016296276587134</v>
      </c>
      <c r="Q155" s="275">
        <f t="shared" si="38"/>
        <v>-1.0937679348911225</v>
      </c>
      <c r="R155" s="275">
        <f t="shared" si="38"/>
        <v>-1.0858502491805186</v>
      </c>
      <c r="S155" s="275">
        <f t="shared" si="38"/>
        <v>-1.0778759701954206</v>
      </c>
      <c r="T155" s="275">
        <f t="shared" si="38"/>
        <v>-1.0698444889915835</v>
      </c>
      <c r="U155" s="275">
        <f t="shared" si="38"/>
        <v>-1.0617551878569844</v>
      </c>
      <c r="V155" s="275">
        <f t="shared" si="38"/>
        <v>-1.0536074401534554</v>
      </c>
      <c r="W155" s="275">
        <f t="shared" si="38"/>
        <v>-1.0454006101548625</v>
      </c>
      <c r="X155" s="275">
        <f t="shared" si="38"/>
        <v>-1.0371340528817572</v>
      </c>
      <c r="Y155" s="275">
        <f t="shared" si="38"/>
        <v>-1.0288071139324035</v>
      </c>
      <c r="Z155" s="275">
        <f t="shared" si="38"/>
        <v>-1.0204191293100888</v>
      </c>
      <c r="AA155" s="275">
        <f t="shared" si="38"/>
        <v>-1.0119694252466211</v>
      </c>
      <c r="AB155" s="275">
        <f t="shared" si="38"/>
        <v>-1.0034573180219186</v>
      </c>
      <c r="AC155" s="288">
        <f t="shared" si="38"/>
        <v>-0.99488211377958446</v>
      </c>
      <c r="AD155" s="369">
        <f t="shared" si="30"/>
        <v>-26.12318432720685</v>
      </c>
    </row>
    <row r="156" spans="1:30" s="53" customFormat="1" ht="12">
      <c r="A156" s="44"/>
      <c r="B156" s="5"/>
      <c r="C156" s="319" t="s">
        <v>155</v>
      </c>
      <c r="D156" s="273"/>
      <c r="E156" s="236"/>
      <c r="F156" s="275">
        <f>F155*F154</f>
        <v>0</v>
      </c>
      <c r="G156" s="275">
        <f t="shared" ref="G156:AC156" si="39">G155*G154</f>
        <v>0</v>
      </c>
      <c r="H156" s="275">
        <f t="shared" si="39"/>
        <v>-1489.7022731514669</v>
      </c>
      <c r="I156" s="275">
        <f t="shared" si="39"/>
        <v>-1469.8739901633728</v>
      </c>
      <c r="J156" s="275">
        <f t="shared" si="39"/>
        <v>-1450.113261965789</v>
      </c>
      <c r="K156" s="275">
        <f t="shared" si="39"/>
        <v>-1430.4207927186858</v>
      </c>
      <c r="L156" s="275">
        <f t="shared" si="39"/>
        <v>-1410.7972964026048</v>
      </c>
      <c r="M156" s="275">
        <f t="shared" si="39"/>
        <v>-1391.2434969904643</v>
      </c>
      <c r="N156" s="275">
        <f t="shared" si="39"/>
        <v>-1371.7601286229813</v>
      </c>
      <c r="O156" s="275">
        <f t="shared" si="39"/>
        <v>-1382.333237081484</v>
      </c>
      <c r="P156" s="275">
        <f t="shared" si="39"/>
        <v>-1392.5563066828524</v>
      </c>
      <c r="Q156" s="275">
        <f t="shared" si="39"/>
        <v>-1402.4256111005136</v>
      </c>
      <c r="R156" s="275">
        <f t="shared" si="39"/>
        <v>-1411.9373709282333</v>
      </c>
      <c r="S156" s="275">
        <f t="shared" si="39"/>
        <v>-1421.087752731622</v>
      </c>
      <c r="T156" s="275">
        <f t="shared" si="39"/>
        <v>-1429.8728680792312</v>
      </c>
      <c r="U156" s="275">
        <f t="shared" si="39"/>
        <v>-1438.2887725527182</v>
      </c>
      <c r="V156" s="275">
        <f t="shared" si="39"/>
        <v>-1446.3314647355619</v>
      </c>
      <c r="W156" s="275">
        <f t="shared" si="39"/>
        <v>-1453.9968851797751</v>
      </c>
      <c r="X156" s="275">
        <f t="shared" si="39"/>
        <v>-1461.280915350058</v>
      </c>
      <c r="Y156" s="275">
        <f t="shared" si="39"/>
        <v>-1468.1793765448144</v>
      </c>
      <c r="Z156" s="275">
        <f t="shared" si="39"/>
        <v>-1474.6880287934393</v>
      </c>
      <c r="AA156" s="275">
        <f t="shared" si="39"/>
        <v>-1480.8025697292637</v>
      </c>
      <c r="AB156" s="275">
        <f t="shared" si="39"/>
        <v>-1486.518633437526</v>
      </c>
      <c r="AC156" s="288">
        <f t="shared" si="39"/>
        <v>-1491.8317892777295</v>
      </c>
      <c r="AD156" s="369">
        <f t="shared" si="30"/>
        <v>-31656.042822220188</v>
      </c>
    </row>
    <row r="157" spans="1:30" s="53" customFormat="1" ht="12">
      <c r="A157" s="44"/>
      <c r="B157" s="5"/>
      <c r="C157" s="78" t="s">
        <v>444</v>
      </c>
      <c r="D157" s="273">
        <f>D99</f>
        <v>5.9830927281646424</v>
      </c>
      <c r="E157" s="236"/>
      <c r="F157" s="275">
        <f>$D157*F154</f>
        <v>0</v>
      </c>
      <c r="G157" s="275">
        <f t="shared" ref="G157:AC157" si="40">$D157*G154</f>
        <v>0</v>
      </c>
      <c r="H157" s="275">
        <f t="shared" si="40"/>
        <v>7666.6137734765434</v>
      </c>
      <c r="I157" s="275">
        <f t="shared" si="40"/>
        <v>7613.2541475470025</v>
      </c>
      <c r="J157" s="275">
        <f t="shared" si="40"/>
        <v>7559.8945216174652</v>
      </c>
      <c r="K157" s="275">
        <f t="shared" si="40"/>
        <v>7506.5348956879252</v>
      </c>
      <c r="L157" s="275">
        <f t="shared" si="40"/>
        <v>7453.175269758387</v>
      </c>
      <c r="M157" s="275">
        <f t="shared" si="40"/>
        <v>7399.8156438288488</v>
      </c>
      <c r="N157" s="275">
        <f t="shared" si="40"/>
        <v>7346.4560178993088</v>
      </c>
      <c r="O157" s="275">
        <f t="shared" si="40"/>
        <v>7454.8045492345682</v>
      </c>
      <c r="P157" s="275">
        <f t="shared" si="40"/>
        <v>7563.1530805698239</v>
      </c>
      <c r="Q157" s="275">
        <f t="shared" si="40"/>
        <v>7671.5016119050815</v>
      </c>
      <c r="R157" s="275">
        <f t="shared" si="40"/>
        <v>7779.85014324034</v>
      </c>
      <c r="S157" s="275">
        <f t="shared" si="40"/>
        <v>7888.1986745755949</v>
      </c>
      <c r="T157" s="275">
        <f t="shared" si="40"/>
        <v>7996.5472059108524</v>
      </c>
      <c r="U157" s="275">
        <f t="shared" si="40"/>
        <v>8104.8957372461118</v>
      </c>
      <c r="V157" s="275">
        <f t="shared" si="40"/>
        <v>8213.2442685813694</v>
      </c>
      <c r="W157" s="275">
        <f t="shared" si="40"/>
        <v>8321.592799916627</v>
      </c>
      <c r="X157" s="275">
        <f t="shared" si="40"/>
        <v>8429.9413312518864</v>
      </c>
      <c r="Y157" s="275">
        <f t="shared" si="40"/>
        <v>8538.2898625871439</v>
      </c>
      <c r="Z157" s="275">
        <f t="shared" si="40"/>
        <v>8646.6383939223979</v>
      </c>
      <c r="AA157" s="275">
        <f t="shared" si="40"/>
        <v>8754.9869252576573</v>
      </c>
      <c r="AB157" s="275">
        <f t="shared" si="40"/>
        <v>8863.3354565929149</v>
      </c>
      <c r="AC157" s="288">
        <f t="shared" si="40"/>
        <v>8971.6839879281706</v>
      </c>
      <c r="AD157" s="369">
        <f t="shared" si="30"/>
        <v>175744.40829853603</v>
      </c>
    </row>
    <row r="158" spans="1:30" s="53" customFormat="1" ht="12">
      <c r="A158" s="45"/>
      <c r="B158" s="5" t="s">
        <v>413</v>
      </c>
      <c r="C158" s="64"/>
      <c r="D158" s="273"/>
      <c r="E158" s="236"/>
      <c r="F158" s="275"/>
      <c r="G158" s="275"/>
      <c r="H158" s="275"/>
      <c r="I158" s="275"/>
      <c r="J158" s="275"/>
      <c r="K158" s="275"/>
      <c r="L158" s="275"/>
      <c r="M158" s="275"/>
      <c r="N158" s="275"/>
      <c r="O158" s="275"/>
      <c r="P158" s="275"/>
      <c r="Q158" s="275"/>
      <c r="R158" s="275"/>
      <c r="S158" s="275"/>
      <c r="T158" s="275"/>
      <c r="U158" s="275"/>
      <c r="V158" s="275"/>
      <c r="W158" s="275"/>
      <c r="X158" s="275"/>
      <c r="Y158" s="275"/>
      <c r="Z158" s="275"/>
      <c r="AA158" s="275"/>
      <c r="AB158" s="275"/>
      <c r="AC158" s="288"/>
      <c r="AD158" s="369">
        <f t="shared" si="30"/>
        <v>0</v>
      </c>
    </row>
    <row r="159" spans="1:30" s="53" customFormat="1" ht="12">
      <c r="A159" s="44"/>
      <c r="B159" s="70" t="s">
        <v>463</v>
      </c>
      <c r="C159" s="47" t="s">
        <v>152</v>
      </c>
      <c r="D159" s="273"/>
      <c r="E159" s="236"/>
      <c r="F159" s="45">
        <f>F24</f>
        <v>0</v>
      </c>
      <c r="G159" s="45">
        <f t="shared" ref="G159:AC159" si="41">G24</f>
        <v>18250</v>
      </c>
      <c r="H159" s="45">
        <f t="shared" si="41"/>
        <v>18432.5</v>
      </c>
      <c r="I159" s="45">
        <f t="shared" si="41"/>
        <v>18616.825000000001</v>
      </c>
      <c r="J159" s="45">
        <f t="shared" si="41"/>
        <v>18802.993250000003</v>
      </c>
      <c r="K159" s="45">
        <f t="shared" si="41"/>
        <v>18991.023182500001</v>
      </c>
      <c r="L159" s="45">
        <f t="shared" si="41"/>
        <v>19180.933414324998</v>
      </c>
      <c r="M159" s="45">
        <f t="shared" si="41"/>
        <v>19372.742748468252</v>
      </c>
      <c r="N159" s="45">
        <f t="shared" si="41"/>
        <v>19566.470175952938</v>
      </c>
      <c r="O159" s="45">
        <f t="shared" si="41"/>
        <v>19762.134877712466</v>
      </c>
      <c r="P159" s="45">
        <f t="shared" si="41"/>
        <v>19959.75622648959</v>
      </c>
      <c r="Q159" s="45">
        <f t="shared" si="41"/>
        <v>20159.353788754484</v>
      </c>
      <c r="R159" s="45">
        <f t="shared" si="41"/>
        <v>20360.947326642028</v>
      </c>
      <c r="S159" s="45">
        <f t="shared" si="41"/>
        <v>20564.556799908452</v>
      </c>
      <c r="T159" s="45">
        <f t="shared" si="41"/>
        <v>20770.202367907536</v>
      </c>
      <c r="U159" s="45">
        <f t="shared" si="41"/>
        <v>20977.90439158661</v>
      </c>
      <c r="V159" s="45">
        <f t="shared" si="41"/>
        <v>21187.683435502477</v>
      </c>
      <c r="W159" s="45">
        <f t="shared" si="41"/>
        <v>21399.560269857502</v>
      </c>
      <c r="X159" s="45">
        <f t="shared" si="41"/>
        <v>21613.555872556077</v>
      </c>
      <c r="Y159" s="45">
        <f t="shared" si="41"/>
        <v>21829.691431281637</v>
      </c>
      <c r="Z159" s="45">
        <f t="shared" si="41"/>
        <v>22047.988345594455</v>
      </c>
      <c r="AA159" s="45">
        <f t="shared" si="41"/>
        <v>22268.468229050399</v>
      </c>
      <c r="AB159" s="45">
        <f t="shared" si="41"/>
        <v>22491.152911340905</v>
      </c>
      <c r="AC159" s="283">
        <f t="shared" si="41"/>
        <v>22716.064440454316</v>
      </c>
      <c r="AD159" s="361">
        <f t="shared" si="30"/>
        <v>469322.50848588505</v>
      </c>
    </row>
    <row r="160" spans="1:30" s="53" customFormat="1" ht="12">
      <c r="A160" s="44"/>
      <c r="B160" s="70"/>
      <c r="C160" s="319" t="s">
        <v>155</v>
      </c>
      <c r="D160" s="273"/>
      <c r="E160" s="236"/>
      <c r="F160" s="275">
        <f>F118*$D$146</f>
        <v>-0.46121546625611298</v>
      </c>
      <c r="G160" s="275">
        <f t="shared" ref="G160:AC160" si="42">G118*$D$146</f>
        <v>-0.45919607327622036</v>
      </c>
      <c r="H160" s="275">
        <f t="shared" si="42"/>
        <v>-0.45716279224511891</v>
      </c>
      <c r="I160" s="275">
        <f t="shared" si="42"/>
        <v>-0.45511547939918717</v>
      </c>
      <c r="J160" s="275">
        <f t="shared" si="42"/>
        <v>-0.45305398898368776</v>
      </c>
      <c r="K160" s="275">
        <f t="shared" si="42"/>
        <v>-0.45097817321817635</v>
      </c>
      <c r="L160" s="275">
        <f t="shared" si="42"/>
        <v>-0.44888788226118748</v>
      </c>
      <c r="M160" s="275">
        <f t="shared" si="42"/>
        <v>-0.44678296417417807</v>
      </c>
      <c r="N160" s="275">
        <f t="shared" si="42"/>
        <v>-0.44466326488471353</v>
      </c>
      <c r="O160" s="275">
        <f t="shared" si="42"/>
        <v>-0.4425286281488725</v>
      </c>
      <c r="P160" s="275">
        <f t="shared" si="42"/>
        <v>-0.44037889551285692</v>
      </c>
      <c r="Q160" s="275">
        <f t="shared" si="42"/>
        <v>-0.43821390627378154</v>
      </c>
      <c r="R160" s="275">
        <f t="shared" si="42"/>
        <v>-0.43603349743963071</v>
      </c>
      <c r="S160" s="275">
        <f t="shared" si="42"/>
        <v>-0.43383750368834995</v>
      </c>
      <c r="T160" s="275">
        <f t="shared" si="42"/>
        <v>-0.43162575732606245</v>
      </c>
      <c r="U160" s="275">
        <f t="shared" si="42"/>
        <v>-0.42939808824438064</v>
      </c>
      <c r="V160" s="275">
        <f t="shared" si="42"/>
        <v>-0.4271543238767932</v>
      </c>
      <c r="W160" s="275">
        <f t="shared" si="42"/>
        <v>-0.42489428915410388</v>
      </c>
      <c r="X160" s="275">
        <f t="shared" si="42"/>
        <v>-0.4226178064588948</v>
      </c>
      <c r="Y160" s="275">
        <f t="shared" si="42"/>
        <v>-0.42032469557899588</v>
      </c>
      <c r="Z160" s="275">
        <f t="shared" si="42"/>
        <v>-0.41801477365992779</v>
      </c>
      <c r="AA160" s="275">
        <f t="shared" si="42"/>
        <v>-0.41568785515629592</v>
      </c>
      <c r="AB160" s="275">
        <f t="shared" si="42"/>
        <v>-0.41334375178210858</v>
      </c>
      <c r="AC160" s="288">
        <f t="shared" si="42"/>
        <v>-0.41098227245998897</v>
      </c>
      <c r="AD160" s="369">
        <f t="shared" si="30"/>
        <v>-10.482092129459629</v>
      </c>
    </row>
    <row r="161" spans="1:30" s="53" customFormat="1" ht="12">
      <c r="A161" s="44"/>
      <c r="B161" s="70"/>
      <c r="C161" s="78" t="s">
        <v>445</v>
      </c>
      <c r="D161" s="273"/>
      <c r="E161" s="236"/>
      <c r="F161" s="275">
        <f>F160*F159</f>
        <v>0</v>
      </c>
      <c r="G161" s="275">
        <f t="shared" ref="G161:AC161" si="43">G160*G159</f>
        <v>-8380.3283372910209</v>
      </c>
      <c r="H161" s="275">
        <f t="shared" si="43"/>
        <v>-8426.6531680581538</v>
      </c>
      <c r="I161" s="275">
        <f t="shared" si="43"/>
        <v>-8472.8052347657722</v>
      </c>
      <c r="J161" s="275">
        <f t="shared" si="43"/>
        <v>-8518.771096745857</v>
      </c>
      <c r="K161" s="275">
        <f t="shared" si="43"/>
        <v>-8564.5369423878874</v>
      </c>
      <c r="L161" s="275">
        <f t="shared" si="43"/>
        <v>-8610.0885801491968</v>
      </c>
      <c r="M161" s="275">
        <f t="shared" si="43"/>
        <v>-8655.4114293444582</v>
      </c>
      <c r="N161" s="275">
        <f t="shared" si="43"/>
        <v>-8700.4905107086088</v>
      </c>
      <c r="O161" s="275">
        <f t="shared" si="43"/>
        <v>-8745.3104367270844</v>
      </c>
      <c r="P161" s="275">
        <f t="shared" si="43"/>
        <v>-8789.8554017273545</v>
      </c>
      <c r="Q161" s="275">
        <f t="shared" si="43"/>
        <v>-8834.1091717252602</v>
      </c>
      <c r="R161" s="275">
        <f t="shared" si="43"/>
        <v>-8878.0550740198232</v>
      </c>
      <c r="S161" s="275">
        <f t="shared" si="43"/>
        <v>-8921.6759865295644</v>
      </c>
      <c r="T161" s="275">
        <f t="shared" si="43"/>
        <v>-8964.9543268636662</v>
      </c>
      <c r="U161" s="275">
        <f t="shared" si="43"/>
        <v>-9007.8720411206868</v>
      </c>
      <c r="V161" s="275">
        <f t="shared" si="43"/>
        <v>-9050.410592407592</v>
      </c>
      <c r="W161" s="275">
        <f t="shared" si="43"/>
        <v>-9092.5509490715067</v>
      </c>
      <c r="X161" s="275">
        <f t="shared" si="43"/>
        <v>-9134.2735726364135</v>
      </c>
      <c r="Y161" s="275">
        <f t="shared" si="43"/>
        <v>-9175.5584054368683</v>
      </c>
      <c r="Z161" s="275">
        <f t="shared" si="43"/>
        <v>-9216.3848579403912</v>
      </c>
      <c r="AA161" s="275">
        <f t="shared" si="43"/>
        <v>-9256.73179575008</v>
      </c>
      <c r="AB161" s="275">
        <f t="shared" si="43"/>
        <v>-9296.5775262787447</v>
      </c>
      <c r="AC161" s="288">
        <f t="shared" si="43"/>
        <v>-9335.899785085463</v>
      </c>
      <c r="AD161" s="369">
        <f t="shared" si="30"/>
        <v>-204029.30522277148</v>
      </c>
    </row>
    <row r="162" spans="1:30" s="53" customFormat="1" ht="12">
      <c r="A162" s="44"/>
      <c r="B162" s="70"/>
      <c r="C162" s="78" t="s">
        <v>487</v>
      </c>
      <c r="D162" s="273">
        <f>D135</f>
        <v>7.9934109589041098</v>
      </c>
      <c r="E162" s="236"/>
      <c r="F162" s="275">
        <f t="shared" ref="F162:AC162" si="44">$D162*F164</f>
        <v>0</v>
      </c>
      <c r="G162" s="275">
        <f t="shared" si="44"/>
        <v>291759.5</v>
      </c>
      <c r="H162" s="275">
        <f t="shared" si="44"/>
        <v>294677.09500000003</v>
      </c>
      <c r="I162" s="275">
        <f t="shared" si="44"/>
        <v>297623.86595000001</v>
      </c>
      <c r="J162" s="275">
        <f t="shared" si="44"/>
        <v>300600.10460950003</v>
      </c>
      <c r="K162" s="275">
        <f t="shared" si="44"/>
        <v>303606.10565559502</v>
      </c>
      <c r="L162" s="275">
        <f t="shared" si="44"/>
        <v>306642.16671215091</v>
      </c>
      <c r="M162" s="275">
        <f t="shared" si="44"/>
        <v>309708.58837927249</v>
      </c>
      <c r="N162" s="275">
        <f t="shared" si="44"/>
        <v>312805.67426306527</v>
      </c>
      <c r="O162" s="275">
        <f t="shared" si="44"/>
        <v>315933.73100569588</v>
      </c>
      <c r="P162" s="275">
        <f t="shared" si="44"/>
        <v>319093.06831575284</v>
      </c>
      <c r="Q162" s="275">
        <f t="shared" si="44"/>
        <v>322283.99899891036</v>
      </c>
      <c r="R162" s="275">
        <f t="shared" si="44"/>
        <v>325506.83898889943</v>
      </c>
      <c r="S162" s="275">
        <f t="shared" si="44"/>
        <v>328761.90737878851</v>
      </c>
      <c r="T162" s="275">
        <f t="shared" si="44"/>
        <v>332049.52645257639</v>
      </c>
      <c r="U162" s="275">
        <f t="shared" si="44"/>
        <v>335370.02171710209</v>
      </c>
      <c r="V162" s="275">
        <f t="shared" si="44"/>
        <v>338723.72193427314</v>
      </c>
      <c r="W162" s="275">
        <f t="shared" si="44"/>
        <v>342110.95915361587</v>
      </c>
      <c r="X162" s="275">
        <f t="shared" si="44"/>
        <v>345532.06874515204</v>
      </c>
      <c r="Y162" s="275">
        <f t="shared" si="44"/>
        <v>348987.38943260355</v>
      </c>
      <c r="Z162" s="275">
        <f t="shared" si="44"/>
        <v>352477.26332692959</v>
      </c>
      <c r="AA162" s="275">
        <f t="shared" si="44"/>
        <v>356002.0359601989</v>
      </c>
      <c r="AB162" s="275">
        <f t="shared" si="44"/>
        <v>359562.0563198009</v>
      </c>
      <c r="AC162" s="288">
        <f t="shared" si="44"/>
        <v>363157.67688299896</v>
      </c>
      <c r="AD162" s="369">
        <f t="shared" si="30"/>
        <v>7502975.3651828822</v>
      </c>
    </row>
    <row r="163" spans="1:30" s="53" customFormat="1" ht="12">
      <c r="A163" s="44"/>
      <c r="B163" s="70"/>
      <c r="C163" s="47"/>
      <c r="D163" s="273"/>
      <c r="E163" s="236"/>
      <c r="F163" s="275"/>
      <c r="G163" s="275"/>
      <c r="H163" s="275"/>
      <c r="I163" s="275"/>
      <c r="J163" s="275"/>
      <c r="K163" s="275"/>
      <c r="L163" s="275"/>
      <c r="M163" s="275"/>
      <c r="N163" s="275"/>
      <c r="O163" s="275"/>
      <c r="P163" s="275"/>
      <c r="Q163" s="275"/>
      <c r="R163" s="275"/>
      <c r="S163" s="275"/>
      <c r="T163" s="275"/>
      <c r="U163" s="275"/>
      <c r="V163" s="275"/>
      <c r="W163" s="275"/>
      <c r="X163" s="275"/>
      <c r="Y163" s="275"/>
      <c r="Z163" s="275"/>
      <c r="AA163" s="275"/>
      <c r="AB163" s="275"/>
      <c r="AC163" s="288"/>
      <c r="AD163" s="369">
        <f t="shared" si="30"/>
        <v>0</v>
      </c>
    </row>
    <row r="164" spans="1:30" s="53" customFormat="1" ht="12">
      <c r="A164" s="44"/>
      <c r="B164" s="70" t="s">
        <v>462</v>
      </c>
      <c r="C164" s="78" t="s">
        <v>473</v>
      </c>
      <c r="D164" s="273"/>
      <c r="E164" s="236"/>
      <c r="F164" s="45">
        <f>F26</f>
        <v>0</v>
      </c>
      <c r="G164" s="45">
        <f t="shared" ref="G164:AC164" si="45">G26</f>
        <v>36500</v>
      </c>
      <c r="H164" s="45">
        <f t="shared" si="45"/>
        <v>36865</v>
      </c>
      <c r="I164" s="45">
        <f t="shared" si="45"/>
        <v>37233.65</v>
      </c>
      <c r="J164" s="45">
        <f t="shared" si="45"/>
        <v>37605.986500000006</v>
      </c>
      <c r="K164" s="45">
        <f t="shared" si="45"/>
        <v>37982.046365000002</v>
      </c>
      <c r="L164" s="45">
        <f t="shared" si="45"/>
        <v>38361.866828649996</v>
      </c>
      <c r="M164" s="45">
        <f t="shared" si="45"/>
        <v>38745.485496936504</v>
      </c>
      <c r="N164" s="45">
        <f t="shared" si="45"/>
        <v>39132.940351905876</v>
      </c>
      <c r="O164" s="45">
        <f t="shared" si="45"/>
        <v>39524.269755424932</v>
      </c>
      <c r="P164" s="45">
        <f t="shared" si="45"/>
        <v>39919.512452979179</v>
      </c>
      <c r="Q164" s="45">
        <f t="shared" si="45"/>
        <v>40318.707577508969</v>
      </c>
      <c r="R164" s="45">
        <f t="shared" si="45"/>
        <v>40721.894653284056</v>
      </c>
      <c r="S164" s="45">
        <f t="shared" si="45"/>
        <v>41129.113599816905</v>
      </c>
      <c r="T164" s="45">
        <f t="shared" si="45"/>
        <v>41540.404735815071</v>
      </c>
      <c r="U164" s="45">
        <f t="shared" si="45"/>
        <v>41955.808783173219</v>
      </c>
      <c r="V164" s="45">
        <f t="shared" si="45"/>
        <v>42375.366871004953</v>
      </c>
      <c r="W164" s="45">
        <f t="shared" si="45"/>
        <v>42799.120539715004</v>
      </c>
      <c r="X164" s="45">
        <f t="shared" si="45"/>
        <v>43227.111745112154</v>
      </c>
      <c r="Y164" s="45">
        <f t="shared" si="45"/>
        <v>43659.382862563274</v>
      </c>
      <c r="Z164" s="45">
        <f t="shared" si="45"/>
        <v>44095.976691188909</v>
      </c>
      <c r="AA164" s="45">
        <f t="shared" si="45"/>
        <v>44536.936458100798</v>
      </c>
      <c r="AB164" s="45">
        <f t="shared" si="45"/>
        <v>44982.30582268181</v>
      </c>
      <c r="AC164" s="283">
        <f t="shared" si="45"/>
        <v>45432.128880908633</v>
      </c>
      <c r="AD164" s="361">
        <f t="shared" si="30"/>
        <v>938645.01697177009</v>
      </c>
    </row>
    <row r="165" spans="1:30" s="53" customFormat="1" ht="12">
      <c r="A165" s="44"/>
      <c r="B165" s="70"/>
      <c r="C165" s="78" t="s">
        <v>469</v>
      </c>
      <c r="D165" s="273"/>
      <c r="E165" s="236"/>
      <c r="F165" s="275">
        <f>F125*$D$146</f>
        <v>-1.1772931527040575</v>
      </c>
      <c r="G165" s="275">
        <f t="shared" ref="G165:AC165" si="46">G125*$D$146</f>
        <v>-1.1699601614362911</v>
      </c>
      <c r="H165" s="275">
        <f t="shared" si="46"/>
        <v>-1.1625767386976547</v>
      </c>
      <c r="I165" s="275">
        <f t="shared" si="46"/>
        <v>-1.1551423624414778</v>
      </c>
      <c r="J165" s="275">
        <f t="shared" si="46"/>
        <v>-1.1476565033907811</v>
      </c>
      <c r="K165" s="275">
        <f t="shared" si="46"/>
        <v>-1.1401186249126676</v>
      </c>
      <c r="L165" s="275">
        <f t="shared" si="46"/>
        <v>-1.1325281828900819</v>
      </c>
      <c r="M165" s="275">
        <f t="shared" si="46"/>
        <v>-1.124884625590886</v>
      </c>
      <c r="N165" s="275">
        <f t="shared" si="46"/>
        <v>-1.117187393534171</v>
      </c>
      <c r="O165" s="275">
        <f t="shared" si="46"/>
        <v>-1.1094359193537429</v>
      </c>
      <c r="P165" s="275">
        <f t="shared" si="46"/>
        <v>-1.1016296276587134</v>
      </c>
      <c r="Q165" s="275">
        <f t="shared" si="46"/>
        <v>-1.0937679348911225</v>
      </c>
      <c r="R165" s="275">
        <f t="shared" si="46"/>
        <v>-1.0858502491805186</v>
      </c>
      <c r="S165" s="275">
        <f t="shared" si="46"/>
        <v>-1.0778759701954206</v>
      </c>
      <c r="T165" s="275">
        <f t="shared" si="46"/>
        <v>-1.0698444889915835</v>
      </c>
      <c r="U165" s="275">
        <f t="shared" si="46"/>
        <v>-1.0617551878569844</v>
      </c>
      <c r="V165" s="275">
        <f t="shared" si="46"/>
        <v>-1.0536074401534554</v>
      </c>
      <c r="W165" s="275">
        <f t="shared" si="46"/>
        <v>-1.0454006101548625</v>
      </c>
      <c r="X165" s="275">
        <f t="shared" si="46"/>
        <v>-1.0371340528817572</v>
      </c>
      <c r="Y165" s="275">
        <f t="shared" si="46"/>
        <v>-1.0288071139324035</v>
      </c>
      <c r="Z165" s="275">
        <f t="shared" si="46"/>
        <v>-1.0204191293100888</v>
      </c>
      <c r="AA165" s="275">
        <f t="shared" si="46"/>
        <v>-1.0119694252466211</v>
      </c>
      <c r="AB165" s="275">
        <f t="shared" si="46"/>
        <v>-1.0034573180219186</v>
      </c>
      <c r="AC165" s="288">
        <f t="shared" si="46"/>
        <v>-0.99488211377958446</v>
      </c>
      <c r="AD165" s="369">
        <f t="shared" si="30"/>
        <v>-26.12318432720685</v>
      </c>
    </row>
    <row r="166" spans="1:30" s="53" customFormat="1" ht="12">
      <c r="A166" s="44"/>
      <c r="B166" s="70"/>
      <c r="C166" s="319" t="s">
        <v>155</v>
      </c>
      <c r="D166" s="273"/>
      <c r="E166" s="236"/>
      <c r="F166" s="275">
        <f>F165*F164</f>
        <v>0</v>
      </c>
      <c r="G166" s="275">
        <f t="shared" ref="G166:AC166" si="47">G165*G164</f>
        <v>-42703.545892424627</v>
      </c>
      <c r="H166" s="275">
        <f t="shared" si="47"/>
        <v>-42858.391472089039</v>
      </c>
      <c r="I166" s="275">
        <f t="shared" si="47"/>
        <v>-43010.166423319133</v>
      </c>
      <c r="J166" s="275">
        <f t="shared" si="47"/>
        <v>-43158.754973150928</v>
      </c>
      <c r="K166" s="325">
        <f t="shared" si="47"/>
        <v>-43304.03847303299</v>
      </c>
      <c r="L166" s="275">
        <f t="shared" si="47"/>
        <v>-43445.895331722291</v>
      </c>
      <c r="M166" s="275">
        <f t="shared" si="47"/>
        <v>-43584.200946558522</v>
      </c>
      <c r="N166" s="275">
        <f t="shared" si="47"/>
        <v>-43718.82763307391</v>
      </c>
      <c r="O166" s="275">
        <f t="shared" si="47"/>
        <v>-43849.644552895195</v>
      </c>
      <c r="P166" s="275">
        <f t="shared" si="47"/>
        <v>-43976.517639892823</v>
      </c>
      <c r="Q166" s="275">
        <f t="shared" si="47"/>
        <v>-44099.309524531032</v>
      </c>
      <c r="R166" s="275">
        <f t="shared" si="47"/>
        <v>-44217.879456371324</v>
      </c>
      <c r="S166" s="275">
        <f t="shared" si="47"/>
        <v>-44332.083224680311</v>
      </c>
      <c r="T166" s="275">
        <f t="shared" si="47"/>
        <v>-44441.773077091631</v>
      </c>
      <c r="U166" s="275">
        <f t="shared" si="47"/>
        <v>-44546.797636269795</v>
      </c>
      <c r="V166" s="275">
        <f t="shared" si="47"/>
        <v>-44647.001814523072</v>
      </c>
      <c r="W166" s="275">
        <f t="shared" si="47"/>
        <v>-44742.226726309571</v>
      </c>
      <c r="X166" s="275">
        <f t="shared" si="47"/>
        <v>-44832.309598580774</v>
      </c>
      <c r="Y166" s="275">
        <f t="shared" si="47"/>
        <v>-44917.08367890356</v>
      </c>
      <c r="Z166" s="275">
        <f t="shared" si="47"/>
        <v>-44996.378141300956</v>
      </c>
      <c r="AA166" s="275">
        <f t="shared" si="47"/>
        <v>-45070.017989749555</v>
      </c>
      <c r="AB166" s="275">
        <f t="shared" si="47"/>
        <v>-45137.823959270027</v>
      </c>
      <c r="AC166" s="288">
        <f t="shared" si="47"/>
        <v>-45199.612414544885</v>
      </c>
      <c r="AD166" s="369">
        <f t="shared" si="30"/>
        <v>-1014790.2805802861</v>
      </c>
    </row>
    <row r="167" spans="1:30" s="53" customFormat="1" ht="12">
      <c r="A167" s="44"/>
      <c r="B167" s="70"/>
      <c r="C167" s="78" t="s">
        <v>485</v>
      </c>
      <c r="D167" s="273">
        <f>D139</f>
        <v>5.8860036870687518</v>
      </c>
      <c r="E167" s="236"/>
      <c r="F167" s="275">
        <f t="shared" ref="F167:AC167" si="48">$D167*F159</f>
        <v>0</v>
      </c>
      <c r="G167" s="275">
        <f t="shared" si="48"/>
        <v>107419.56728900471</v>
      </c>
      <c r="H167" s="275">
        <f t="shared" si="48"/>
        <v>108493.76296189477</v>
      </c>
      <c r="I167" s="275">
        <f t="shared" si="48"/>
        <v>109578.70059151371</v>
      </c>
      <c r="J167" s="275">
        <f t="shared" si="48"/>
        <v>110674.48759742887</v>
      </c>
      <c r="K167" s="275">
        <f t="shared" si="48"/>
        <v>111781.23247340314</v>
      </c>
      <c r="L167" s="275">
        <f t="shared" si="48"/>
        <v>112899.04479813715</v>
      </c>
      <c r="M167" s="275">
        <f t="shared" si="48"/>
        <v>114028.03524611855</v>
      </c>
      <c r="N167" s="275">
        <f t="shared" si="48"/>
        <v>115168.31559857976</v>
      </c>
      <c r="O167" s="275">
        <f t="shared" si="48"/>
        <v>116319.99875456555</v>
      </c>
      <c r="P167" s="275">
        <f t="shared" si="48"/>
        <v>117483.1987421112</v>
      </c>
      <c r="Q167" s="275">
        <f t="shared" si="48"/>
        <v>118658.0307295323</v>
      </c>
      <c r="R167" s="275">
        <f t="shared" si="48"/>
        <v>119844.61103682763</v>
      </c>
      <c r="S167" s="275">
        <f t="shared" si="48"/>
        <v>121043.05714719593</v>
      </c>
      <c r="T167" s="275">
        <f t="shared" si="48"/>
        <v>122253.48771866788</v>
      </c>
      <c r="U167" s="275">
        <f t="shared" si="48"/>
        <v>123476.02259585455</v>
      </c>
      <c r="V167" s="275">
        <f t="shared" si="48"/>
        <v>124710.78282181309</v>
      </c>
      <c r="W167" s="275">
        <f t="shared" si="48"/>
        <v>125957.89065003123</v>
      </c>
      <c r="X167" s="275">
        <f t="shared" si="48"/>
        <v>127217.46955653153</v>
      </c>
      <c r="Y167" s="275">
        <f t="shared" si="48"/>
        <v>128489.64425209686</v>
      </c>
      <c r="Z167" s="275">
        <f t="shared" si="48"/>
        <v>129774.54069461783</v>
      </c>
      <c r="AA167" s="275">
        <f t="shared" si="48"/>
        <v>131072.28610156401</v>
      </c>
      <c r="AB167" s="275">
        <f t="shared" si="48"/>
        <v>132383.00896257965</v>
      </c>
      <c r="AC167" s="288">
        <f t="shared" si="48"/>
        <v>133706.83905220547</v>
      </c>
      <c r="AD167" s="369">
        <f t="shared" ref="AD167:AD227" si="49">SUM(F167:AC167)</f>
        <v>2762434.0153722744</v>
      </c>
    </row>
    <row r="168" spans="1:30" s="53" customFormat="1" ht="12">
      <c r="A168" s="44"/>
      <c r="B168" s="70"/>
      <c r="C168" s="243"/>
      <c r="D168" s="273"/>
      <c r="E168" s="236"/>
      <c r="F168" s="275"/>
      <c r="G168" s="275"/>
      <c r="H168" s="275"/>
      <c r="I168" s="275"/>
      <c r="J168" s="275"/>
      <c r="K168" s="275"/>
      <c r="L168" s="275"/>
      <c r="M168" s="275"/>
      <c r="N168" s="275"/>
      <c r="O168" s="275"/>
      <c r="P168" s="275"/>
      <c r="Q168" s="275"/>
      <c r="R168" s="275"/>
      <c r="S168" s="275"/>
      <c r="T168" s="275"/>
      <c r="U168" s="275"/>
      <c r="V168" s="275"/>
      <c r="W168" s="275"/>
      <c r="X168" s="275"/>
      <c r="Y168" s="275"/>
      <c r="Z168" s="275"/>
      <c r="AA168" s="275"/>
      <c r="AB168" s="275"/>
      <c r="AC168" s="288"/>
      <c r="AD168" s="369">
        <f t="shared" si="49"/>
        <v>0</v>
      </c>
    </row>
    <row r="169" spans="1:30" s="53" customFormat="1" ht="12">
      <c r="A169" s="45"/>
      <c r="B169" s="5"/>
      <c r="C169" s="78"/>
      <c r="D169" s="273"/>
      <c r="E169" s="236"/>
      <c r="F169" s="45"/>
      <c r="G169" s="57"/>
      <c r="AC169" s="283"/>
      <c r="AD169" s="361">
        <f t="shared" si="49"/>
        <v>0</v>
      </c>
    </row>
    <row r="170" spans="1:30" s="53" customFormat="1" ht="12">
      <c r="A170" s="45"/>
      <c r="B170" s="55"/>
      <c r="C170" s="5" t="s">
        <v>503</v>
      </c>
      <c r="D170" s="273"/>
      <c r="E170" s="239"/>
      <c r="F170" s="83">
        <f>F150+F151+F156+F157++F161+F162+F166+F167</f>
        <v>0</v>
      </c>
      <c r="G170" s="83">
        <f t="shared" ref="G170:AC170" si="50">G150+G151+G156+G157++G161+G162+G166+G167</f>
        <v>348095.19305928907</v>
      </c>
      <c r="H170" s="83">
        <f t="shared" si="50"/>
        <v>359066.12704997475</v>
      </c>
      <c r="I170" s="83">
        <f t="shared" si="50"/>
        <v>363129.45129267807</v>
      </c>
      <c r="J170" s="83">
        <f t="shared" si="50"/>
        <v>367234.46915498993</v>
      </c>
      <c r="K170" s="83">
        <f t="shared" si="50"/>
        <v>371381.69546179305</v>
      </c>
      <c r="L170" s="83">
        <f t="shared" si="50"/>
        <v>375571.65210212994</v>
      </c>
      <c r="M170" s="83">
        <f t="shared" si="50"/>
        <v>379804.86814237945</v>
      </c>
      <c r="N170" s="83">
        <f t="shared" si="50"/>
        <v>384081.87994162051</v>
      </c>
      <c r="O170" s="83">
        <f t="shared" si="50"/>
        <v>388597.12010199873</v>
      </c>
      <c r="P170" s="83">
        <f t="shared" si="50"/>
        <v>393169.71921352245</v>
      </c>
      <c r="Q170" s="83">
        <f t="shared" si="50"/>
        <v>397800.36895717791</v>
      </c>
      <c r="R170" s="83">
        <f t="shared" si="50"/>
        <v>402489.77068168018</v>
      </c>
      <c r="S170" s="83">
        <f t="shared" si="50"/>
        <v>407238.63556435169</v>
      </c>
      <c r="T170" s="83">
        <f t="shared" si="50"/>
        <v>412047.68477524293</v>
      </c>
      <c r="U170" s="83">
        <f t="shared" si="50"/>
        <v>416917.64964457479</v>
      </c>
      <c r="V170" s="83">
        <f t="shared" si="50"/>
        <v>421849.27183358208</v>
      </c>
      <c r="W170" s="83">
        <f t="shared" si="50"/>
        <v>426843.3035088412</v>
      </c>
      <c r="X170" s="83">
        <f t="shared" si="50"/>
        <v>431900.50752016861</v>
      </c>
      <c r="Y170" s="83">
        <f t="shared" si="50"/>
        <v>437021.65758217603</v>
      </c>
      <c r="Z170" s="83">
        <f t="shared" si="50"/>
        <v>442207.53845957486</v>
      </c>
      <c r="AA170" s="83">
        <f t="shared" si="50"/>
        <v>447458.94615632069</v>
      </c>
      <c r="AB170" s="83">
        <f t="shared" si="50"/>
        <v>452776.68810869544</v>
      </c>
      <c r="AC170" s="292">
        <f t="shared" si="50"/>
        <v>458161.58338242408</v>
      </c>
      <c r="AD170" s="378">
        <f t="shared" si="49"/>
        <v>9284845.7816951852</v>
      </c>
    </row>
    <row r="171" spans="1:30" s="53" customFormat="1" ht="12">
      <c r="A171" s="45"/>
      <c r="B171" s="45"/>
      <c r="D171" s="228"/>
      <c r="E171" s="236"/>
      <c r="F171" s="45"/>
      <c r="G171" s="57"/>
      <c r="AC171" s="283"/>
      <c r="AD171" s="361">
        <f t="shared" si="49"/>
        <v>0</v>
      </c>
    </row>
    <row r="172" spans="1:30" s="53" customFormat="1" ht="12">
      <c r="A172" s="45"/>
      <c r="B172" s="5" t="s">
        <v>524</v>
      </c>
      <c r="C172" s="5"/>
      <c r="D172" s="228"/>
      <c r="E172" s="236"/>
      <c r="G172" s="57"/>
      <c r="AC172" s="283"/>
      <c r="AD172" s="361">
        <f t="shared" si="49"/>
        <v>0</v>
      </c>
    </row>
    <row r="173" spans="1:30" s="53" customFormat="1" ht="12">
      <c r="A173" s="45"/>
      <c r="B173" s="55" t="s">
        <v>525</v>
      </c>
      <c r="C173" s="244" t="s">
        <v>526</v>
      </c>
      <c r="D173" s="307">
        <v>5.3999999999999999E-2</v>
      </c>
      <c r="E173" s="236"/>
      <c r="G173" s="57"/>
      <c r="AC173" s="283"/>
      <c r="AD173" s="361">
        <f t="shared" si="49"/>
        <v>0</v>
      </c>
    </row>
    <row r="174" spans="1:30" s="53" customFormat="1" ht="12">
      <c r="A174" s="45"/>
      <c r="C174" s="70" t="s">
        <v>522</v>
      </c>
      <c r="D174" s="228"/>
      <c r="E174" s="236"/>
      <c r="F174" s="275">
        <f>-F32*$D$173</f>
        <v>0</v>
      </c>
      <c r="G174" s="275">
        <f t="shared" ref="G174:AC174" si="51">-G32*$D$173</f>
        <v>14575.545</v>
      </c>
      <c r="H174" s="275">
        <f t="shared" si="51"/>
        <v>28010.691683622354</v>
      </c>
      <c r="I174" s="275">
        <f t="shared" si="51"/>
        <v>28065.410535422154</v>
      </c>
      <c r="J174" s="275">
        <f t="shared" si="51"/>
        <v>28121.601517266958</v>
      </c>
      <c r="K174" s="275">
        <f t="shared" si="51"/>
        <v>28179.279350457211</v>
      </c>
      <c r="L174" s="275">
        <f t="shared" si="51"/>
        <v>28238.458903506362</v>
      </c>
      <c r="M174" s="275">
        <f t="shared" si="51"/>
        <v>28299.155193613013</v>
      </c>
      <c r="N174" s="275">
        <f t="shared" si="51"/>
        <v>28361.383388147744</v>
      </c>
      <c r="O174" s="275">
        <f t="shared" si="51"/>
        <v>28705.465474920966</v>
      </c>
      <c r="P174" s="275">
        <f t="shared" si="51"/>
        <v>29051.110257401273</v>
      </c>
      <c r="Q174" s="275">
        <f t="shared" si="51"/>
        <v>29398.33336254572</v>
      </c>
      <c r="R174" s="275">
        <f t="shared" si="51"/>
        <v>29747.150573580959</v>
      </c>
      <c r="S174" s="275">
        <f t="shared" si="51"/>
        <v>30097.577831565886</v>
      </c>
      <c r="T174" s="275">
        <f t="shared" si="51"/>
        <v>30449.631236969995</v>
      </c>
      <c r="U174" s="275">
        <f t="shared" si="51"/>
        <v>30803.327051267497</v>
      </c>
      <c r="V174" s="275">
        <f t="shared" si="51"/>
        <v>31158.681698547309</v>
      </c>
      <c r="W174" s="275">
        <f t="shared" si="51"/>
        <v>31515.711767139263</v>
      </c>
      <c r="X174" s="275">
        <f t="shared" si="51"/>
        <v>31874.434011256471</v>
      </c>
      <c r="Y174" s="275">
        <f t="shared" si="51"/>
        <v>32234.865352654197</v>
      </c>
      <c r="Z174" s="275">
        <f t="shared" si="51"/>
        <v>32597.022882305242</v>
      </c>
      <c r="AA174" s="275">
        <f t="shared" si="51"/>
        <v>32960.923862092124</v>
      </c>
      <c r="AB174" s="275">
        <f t="shared" si="51"/>
        <v>33326.585726516234</v>
      </c>
      <c r="AC174" s="288">
        <f t="shared" si="51"/>
        <v>33694.026084423916</v>
      </c>
      <c r="AD174" s="369">
        <f t="shared" si="49"/>
        <v>679466.37274522276</v>
      </c>
    </row>
    <row r="175" spans="1:30" s="53" customFormat="1" ht="12">
      <c r="A175" s="45"/>
      <c r="B175" s="45"/>
      <c r="C175" s="244" t="s">
        <v>531</v>
      </c>
      <c r="D175" s="228">
        <v>3.2</v>
      </c>
      <c r="E175" s="236"/>
      <c r="G175" s="57"/>
      <c r="AC175" s="283"/>
      <c r="AD175" s="361">
        <f t="shared" si="49"/>
        <v>0</v>
      </c>
    </row>
    <row r="176" spans="1:30" s="53" customFormat="1" ht="12">
      <c r="A176" s="45"/>
      <c r="B176" s="45"/>
      <c r="C176" s="243" t="s">
        <v>400</v>
      </c>
      <c r="D176" s="273">
        <v>13.91</v>
      </c>
      <c r="E176" s="236"/>
      <c r="G176" s="57"/>
      <c r="AC176" s="283"/>
      <c r="AD176" s="361">
        <f t="shared" si="49"/>
        <v>0</v>
      </c>
    </row>
    <row r="177" spans="1:30" s="53" customFormat="1" ht="12">
      <c r="A177" s="45"/>
      <c r="B177" s="45"/>
      <c r="C177" s="70" t="s">
        <v>581</v>
      </c>
      <c r="D177" s="228"/>
      <c r="E177" s="236"/>
      <c r="F177" s="308">
        <f>($D$175/3600)*$D$176*F39</f>
        <v>0</v>
      </c>
      <c r="G177" s="308">
        <f t="shared" ref="G177:AC177" si="52">($D$175/3600)*$D$176*G39</f>
        <v>0</v>
      </c>
      <c r="H177" s="308">
        <f t="shared" si="52"/>
        <v>122386.06910299855</v>
      </c>
      <c r="I177" s="308">
        <f t="shared" si="52"/>
        <v>122746.13867183286</v>
      </c>
      <c r="J177" s="308">
        <f t="shared" si="52"/>
        <v>123106.17405452384</v>
      </c>
      <c r="K177" s="308">
        <f t="shared" si="52"/>
        <v>123466.17490921009</v>
      </c>
      <c r="L177" s="308">
        <f t="shared" si="52"/>
        <v>123826.14089061148</v>
      </c>
      <c r="M177" s="308">
        <f t="shared" si="52"/>
        <v>124186.07164999518</v>
      </c>
      <c r="N177" s="308">
        <f t="shared" si="52"/>
        <v>124545.96683514111</v>
      </c>
      <c r="O177" s="308">
        <f t="shared" si="52"/>
        <v>124900.88900165526</v>
      </c>
      <c r="P177" s="308">
        <f t="shared" si="52"/>
        <v>125255.77487888941</v>
      </c>
      <c r="Q177" s="308">
        <f t="shared" si="52"/>
        <v>125610.62410395073</v>
      </c>
      <c r="R177" s="308">
        <f t="shared" si="52"/>
        <v>125965.43631031753</v>
      </c>
      <c r="S177" s="308">
        <f t="shared" si="52"/>
        <v>126320.21112780282</v>
      </c>
      <c r="T177" s="308">
        <f t="shared" si="52"/>
        <v>126674.94818251776</v>
      </c>
      <c r="U177" s="308">
        <f t="shared" si="52"/>
        <v>127029.64709683474</v>
      </c>
      <c r="V177" s="308">
        <f t="shared" si="52"/>
        <v>127384.30748934973</v>
      </c>
      <c r="W177" s="308">
        <f t="shared" si="52"/>
        <v>127738.92897484468</v>
      </c>
      <c r="X177" s="308">
        <f t="shared" si="52"/>
        <v>128093.51116424944</v>
      </c>
      <c r="Y177" s="308">
        <f t="shared" si="52"/>
        <v>123082.39689492929</v>
      </c>
      <c r="Z177" s="308">
        <f t="shared" si="52"/>
        <v>117782.14205484226</v>
      </c>
      <c r="AA177" s="308">
        <f t="shared" si="52"/>
        <v>112481.84672795422</v>
      </c>
      <c r="AB177" s="308">
        <f t="shared" si="52"/>
        <v>107181.51050939709</v>
      </c>
      <c r="AC177" s="411">
        <f t="shared" si="52"/>
        <v>1161.388936991129</v>
      </c>
      <c r="AD177" s="379">
        <f t="shared" si="49"/>
        <v>2590926.2995688394</v>
      </c>
    </row>
    <row r="178" spans="1:30" s="53" customFormat="1" ht="12">
      <c r="A178" s="45"/>
      <c r="B178" s="55" t="s">
        <v>404</v>
      </c>
      <c r="C178" s="244" t="s">
        <v>532</v>
      </c>
      <c r="D178" s="228">
        <v>5</v>
      </c>
      <c r="E178" s="236"/>
      <c r="G178" s="57"/>
      <c r="AC178" s="283"/>
      <c r="AD178" s="361">
        <f t="shared" si="49"/>
        <v>0</v>
      </c>
    </row>
    <row r="179" spans="1:30" s="53" customFormat="1" ht="12">
      <c r="A179" s="45"/>
      <c r="B179" s="45"/>
      <c r="C179" s="243" t="s">
        <v>400</v>
      </c>
      <c r="D179" s="273">
        <v>13.91</v>
      </c>
      <c r="E179" s="236"/>
      <c r="F179" s="45"/>
      <c r="G179" s="57"/>
      <c r="AC179" s="283"/>
      <c r="AD179" s="361">
        <f t="shared" si="49"/>
        <v>0</v>
      </c>
    </row>
    <row r="180" spans="1:30" s="53" customFormat="1" ht="12">
      <c r="A180" s="45"/>
      <c r="B180" s="45"/>
      <c r="C180" s="243" t="s">
        <v>538</v>
      </c>
      <c r="D180" s="344">
        <f>'Mode Operating Assumptions'!C45</f>
        <v>8.4250000000000002E-3</v>
      </c>
      <c r="E180" s="236"/>
      <c r="F180" s="45"/>
      <c r="G180" s="57"/>
      <c r="AC180" s="283"/>
      <c r="AD180" s="361">
        <f t="shared" si="49"/>
        <v>0</v>
      </c>
    </row>
    <row r="181" spans="1:30" s="53" customFormat="1" ht="12">
      <c r="A181" s="45"/>
      <c r="B181" s="45"/>
      <c r="C181" s="70" t="s">
        <v>533</v>
      </c>
      <c r="D181" s="228"/>
      <c r="E181" s="236"/>
      <c r="F181" s="275">
        <f>-(($D$178/3600*$D$179)+$D$180)*F37</f>
        <v>-274289.16865888756</v>
      </c>
      <c r="G181" s="275">
        <f>-(($D$178/3600*$D$179)+$D$180)*G37</f>
        <v>-275101.14034555288</v>
      </c>
      <c r="H181" s="275">
        <f>-(($D$178/3600*$D$179)+$D$180)*H37</f>
        <v>0</v>
      </c>
      <c r="I181" s="275">
        <f>-(($D$178/3600*$D$179)+$D$180)*I37</f>
        <v>0</v>
      </c>
      <c r="J181" s="45"/>
      <c r="AC181" s="283"/>
      <c r="AD181" s="361">
        <f t="shared" si="49"/>
        <v>-549390.30900444044</v>
      </c>
    </row>
    <row r="182" spans="1:30" s="53" customFormat="1" ht="12">
      <c r="A182" s="45"/>
      <c r="B182" s="45"/>
      <c r="C182" s="5"/>
      <c r="D182" s="228"/>
      <c r="E182" s="236"/>
      <c r="F182" s="45"/>
      <c r="G182" s="57"/>
      <c r="AC182" s="283"/>
      <c r="AD182" s="361">
        <f t="shared" si="49"/>
        <v>0</v>
      </c>
    </row>
    <row r="183" spans="1:30" s="53" customFormat="1" ht="12">
      <c r="A183" s="45"/>
      <c r="B183" s="45"/>
      <c r="C183" s="5" t="s">
        <v>534</v>
      </c>
      <c r="D183" s="228"/>
      <c r="E183" s="236"/>
      <c r="F183" s="309">
        <f>F174+F177+F181</f>
        <v>-274289.16865888756</v>
      </c>
      <c r="G183" s="309">
        <f t="shared" ref="G183:AC183" si="53">G174+G177+G181</f>
        <v>-260525.59534555287</v>
      </c>
      <c r="H183" s="309">
        <f t="shared" si="53"/>
        <v>150396.7607866209</v>
      </c>
      <c r="I183" s="309">
        <f t="shared" si="53"/>
        <v>150811.54920725501</v>
      </c>
      <c r="J183" s="309">
        <f t="shared" si="53"/>
        <v>151227.77557179081</v>
      </c>
      <c r="K183" s="309">
        <f t="shared" si="53"/>
        <v>151645.45425966731</v>
      </c>
      <c r="L183" s="309">
        <f t="shared" si="53"/>
        <v>152064.59979411785</v>
      </c>
      <c r="M183" s="309">
        <f t="shared" si="53"/>
        <v>152485.22684360819</v>
      </c>
      <c r="N183" s="309">
        <f t="shared" si="53"/>
        <v>152907.35022328884</v>
      </c>
      <c r="O183" s="309">
        <f t="shared" si="53"/>
        <v>153606.35447657623</v>
      </c>
      <c r="P183" s="309">
        <f t="shared" si="53"/>
        <v>154306.88513629069</v>
      </c>
      <c r="Q183" s="309">
        <f t="shared" si="53"/>
        <v>155008.95746649645</v>
      </c>
      <c r="R183" s="309">
        <f t="shared" si="53"/>
        <v>155712.58688389848</v>
      </c>
      <c r="S183" s="309">
        <f t="shared" si="53"/>
        <v>156417.78895936871</v>
      </c>
      <c r="T183" s="309">
        <f t="shared" si="53"/>
        <v>157124.57941948777</v>
      </c>
      <c r="U183" s="309">
        <f t="shared" si="53"/>
        <v>157832.97414810225</v>
      </c>
      <c r="V183" s="309">
        <f t="shared" si="53"/>
        <v>158542.98918789704</v>
      </c>
      <c r="W183" s="309">
        <f t="shared" si="53"/>
        <v>159254.64074198395</v>
      </c>
      <c r="X183" s="309">
        <f t="shared" si="53"/>
        <v>159967.94517550591</v>
      </c>
      <c r="Y183" s="309">
        <f t="shared" si="53"/>
        <v>155317.26224758348</v>
      </c>
      <c r="Z183" s="309">
        <f t="shared" si="53"/>
        <v>150379.16493714749</v>
      </c>
      <c r="AA183" s="309">
        <f t="shared" si="53"/>
        <v>145442.77059004636</v>
      </c>
      <c r="AB183" s="309">
        <f t="shared" si="53"/>
        <v>140508.09623591334</v>
      </c>
      <c r="AC183" s="340">
        <f t="shared" si="53"/>
        <v>34855.415021415043</v>
      </c>
      <c r="AD183" s="370">
        <f t="shared" si="49"/>
        <v>2721002.3633096213</v>
      </c>
    </row>
    <row r="184" spans="1:30" s="53" customFormat="1" ht="12">
      <c r="A184" s="45"/>
      <c r="B184" s="45"/>
      <c r="C184" s="5"/>
      <c r="D184" s="228"/>
      <c r="E184" s="236"/>
      <c r="F184" s="45"/>
      <c r="G184" s="57"/>
      <c r="AC184" s="283"/>
      <c r="AD184" s="361">
        <f t="shared" si="49"/>
        <v>0</v>
      </c>
    </row>
    <row r="185" spans="1:30" s="53" customFormat="1" ht="12">
      <c r="A185" s="45"/>
      <c r="B185" s="55" t="s">
        <v>518</v>
      </c>
      <c r="C185" s="5"/>
      <c r="D185" s="228"/>
      <c r="E185" s="236"/>
      <c r="F185" s="252">
        <f>F33</f>
        <v>0</v>
      </c>
      <c r="G185" s="252">
        <f t="shared" ref="G185:AC185" si="54">G33</f>
        <v>47565.643456646481</v>
      </c>
      <c r="H185" s="252">
        <f t="shared" si="54"/>
        <v>89349.622998719104</v>
      </c>
      <c r="I185" s="252">
        <f t="shared" si="54"/>
        <v>87551.028011571383</v>
      </c>
      <c r="J185" s="252">
        <f t="shared" si="54"/>
        <v>85834.499750904695</v>
      </c>
      <c r="K185" s="252">
        <f t="shared" si="54"/>
        <v>84194.884972961328</v>
      </c>
      <c r="L185" s="252">
        <f t="shared" si="54"/>
        <v>82627.457004140218</v>
      </c>
      <c r="M185" s="252">
        <f t="shared" si="54"/>
        <v>81127.872545121601</v>
      </c>
      <c r="N185" s="252">
        <f t="shared" si="54"/>
        <v>79692.13362031494</v>
      </c>
      <c r="O185" s="252">
        <f t="shared" si="54"/>
        <v>80616.250890372263</v>
      </c>
      <c r="P185" s="252">
        <f t="shared" si="54"/>
        <v>81543.776293652874</v>
      </c>
      <c r="Q185" s="252">
        <f t="shared" si="54"/>
        <v>82474.748261803717</v>
      </c>
      <c r="R185" s="252">
        <f t="shared" si="54"/>
        <v>83409.205583365867</v>
      </c>
      <c r="S185" s="252">
        <f t="shared" si="54"/>
        <v>84347.187407210848</v>
      </c>
      <c r="T185" s="252">
        <f t="shared" si="54"/>
        <v>85288.733246009971</v>
      </c>
      <c r="U185" s="252">
        <f t="shared" si="54"/>
        <v>86233.882979736998</v>
      </c>
      <c r="V185" s="252">
        <f t="shared" si="54"/>
        <v>87182.676859203828</v>
      </c>
      <c r="W185" s="252">
        <f t="shared" si="54"/>
        <v>88135.155509630698</v>
      </c>
      <c r="X185" s="252">
        <f t="shared" si="54"/>
        <v>89091.359934249893</v>
      </c>
      <c r="Y185" s="252">
        <f t="shared" si="54"/>
        <v>90051.331517944578</v>
      </c>
      <c r="Z185" s="252">
        <f t="shared" si="54"/>
        <v>91015.112030921897</v>
      </c>
      <c r="AA185" s="252">
        <f t="shared" si="54"/>
        <v>91982.743632421494</v>
      </c>
      <c r="AB185" s="252">
        <f t="shared" si="54"/>
        <v>92954.268874459653</v>
      </c>
      <c r="AC185" s="286">
        <f t="shared" si="54"/>
        <v>93929.730705608919</v>
      </c>
      <c r="AD185" s="371">
        <f t="shared" si="49"/>
        <v>1946199.3060869733</v>
      </c>
    </row>
    <row r="186" spans="1:30" s="5" customFormat="1" ht="12">
      <c r="A186" s="58"/>
      <c r="B186" s="58"/>
      <c r="C186" s="5" t="s">
        <v>612</v>
      </c>
      <c r="D186" s="231"/>
      <c r="E186" s="239"/>
      <c r="F186" s="83">
        <f>F185</f>
        <v>0</v>
      </c>
      <c r="G186" s="83">
        <f t="shared" ref="G186:AC186" si="55">G185</f>
        <v>47565.643456646481</v>
      </c>
      <c r="H186" s="83">
        <f t="shared" si="55"/>
        <v>89349.622998719104</v>
      </c>
      <c r="I186" s="83">
        <f>I185</f>
        <v>87551.028011571383</v>
      </c>
      <c r="J186" s="83">
        <f t="shared" si="55"/>
        <v>85834.499750904695</v>
      </c>
      <c r="K186" s="83">
        <f t="shared" si="55"/>
        <v>84194.884972961328</v>
      </c>
      <c r="L186" s="83">
        <f t="shared" si="55"/>
        <v>82627.457004140218</v>
      </c>
      <c r="M186" s="83">
        <f t="shared" si="55"/>
        <v>81127.872545121601</v>
      </c>
      <c r="N186" s="83">
        <f t="shared" si="55"/>
        <v>79692.13362031494</v>
      </c>
      <c r="O186" s="83">
        <f t="shared" si="55"/>
        <v>80616.250890372263</v>
      </c>
      <c r="P186" s="83">
        <f t="shared" si="55"/>
        <v>81543.776293652874</v>
      </c>
      <c r="Q186" s="83">
        <f t="shared" si="55"/>
        <v>82474.748261803717</v>
      </c>
      <c r="R186" s="83">
        <f t="shared" si="55"/>
        <v>83409.205583365867</v>
      </c>
      <c r="S186" s="83">
        <f t="shared" si="55"/>
        <v>84347.187407210848</v>
      </c>
      <c r="T186" s="83">
        <f t="shared" si="55"/>
        <v>85288.733246009971</v>
      </c>
      <c r="U186" s="83">
        <f t="shared" si="55"/>
        <v>86233.882979736998</v>
      </c>
      <c r="V186" s="83">
        <f t="shared" si="55"/>
        <v>87182.676859203828</v>
      </c>
      <c r="W186" s="83">
        <f t="shared" si="55"/>
        <v>88135.155509630698</v>
      </c>
      <c r="X186" s="83">
        <f t="shared" si="55"/>
        <v>89091.359934249893</v>
      </c>
      <c r="Y186" s="83">
        <f t="shared" si="55"/>
        <v>90051.331517944578</v>
      </c>
      <c r="Z186" s="83">
        <f t="shared" si="55"/>
        <v>91015.112030921897</v>
      </c>
      <c r="AA186" s="83">
        <f t="shared" si="55"/>
        <v>91982.743632421494</v>
      </c>
      <c r="AB186" s="83">
        <f t="shared" si="55"/>
        <v>92954.268874459653</v>
      </c>
      <c r="AC186" s="292">
        <f t="shared" si="55"/>
        <v>93929.730705608919</v>
      </c>
      <c r="AD186" s="378">
        <f t="shared" si="49"/>
        <v>1946199.3060869733</v>
      </c>
    </row>
    <row r="187" spans="1:30" s="112" customFormat="1" ht="12">
      <c r="A187" s="109"/>
      <c r="B187" s="109"/>
      <c r="C187" s="110"/>
      <c r="D187" s="227"/>
      <c r="E187" s="235"/>
      <c r="F187" s="111"/>
      <c r="G187" s="111"/>
      <c r="H187" s="111"/>
      <c r="I187" s="111"/>
      <c r="J187" s="111"/>
      <c r="K187" s="111"/>
      <c r="L187" s="111"/>
      <c r="M187" s="111"/>
      <c r="N187" s="111"/>
      <c r="O187" s="111"/>
      <c r="P187" s="111"/>
      <c r="Q187" s="111"/>
      <c r="R187" s="111"/>
      <c r="S187" s="111"/>
      <c r="T187" s="111"/>
      <c r="U187" s="111"/>
      <c r="V187" s="111"/>
      <c r="W187" s="111"/>
      <c r="X187" s="111"/>
      <c r="Y187" s="111"/>
      <c r="Z187" s="111"/>
      <c r="AC187" s="282"/>
      <c r="AD187" s="360">
        <f t="shared" si="49"/>
        <v>0</v>
      </c>
    </row>
    <row r="188" spans="1:30" s="53" customFormat="1" ht="12">
      <c r="A188" s="58" t="s">
        <v>360</v>
      </c>
      <c r="B188" s="58"/>
      <c r="D188" s="228"/>
      <c r="E188" s="236"/>
      <c r="F188" s="45"/>
      <c r="G188" s="57"/>
      <c r="AC188" s="283"/>
      <c r="AD188" s="361">
        <f t="shared" si="49"/>
        <v>0</v>
      </c>
    </row>
    <row r="189" spans="1:30" s="53" customFormat="1" ht="12">
      <c r="A189" s="55"/>
      <c r="B189" s="55"/>
      <c r="D189" s="228"/>
      <c r="E189" s="236"/>
      <c r="F189" s="45"/>
      <c r="G189" s="57"/>
      <c r="AC189" s="283"/>
      <c r="AD189" s="361">
        <f t="shared" si="49"/>
        <v>0</v>
      </c>
    </row>
    <row r="190" spans="1:30" s="53" customFormat="1" ht="12">
      <c r="A190" s="45"/>
      <c r="B190" s="45"/>
      <c r="C190" s="46" t="s">
        <v>88</v>
      </c>
      <c r="D190" s="228"/>
      <c r="E190" s="236"/>
      <c r="F190" s="45"/>
      <c r="G190" s="57"/>
      <c r="L190" s="61"/>
      <c r="AC190" s="283"/>
      <c r="AD190" s="361">
        <f t="shared" si="49"/>
        <v>0</v>
      </c>
    </row>
    <row r="191" spans="1:30" s="53" customFormat="1" ht="12">
      <c r="A191" s="45"/>
      <c r="B191" s="45"/>
      <c r="C191" s="78" t="s">
        <v>42</v>
      </c>
      <c r="D191" s="228"/>
      <c r="E191" s="236"/>
      <c r="F191" s="45"/>
      <c r="G191" s="57"/>
      <c r="L191" s="61"/>
      <c r="AC191" s="283"/>
      <c r="AD191" s="361">
        <f t="shared" si="49"/>
        <v>0</v>
      </c>
    </row>
    <row r="192" spans="1:30" s="53" customFormat="1" ht="12">
      <c r="A192" s="45"/>
      <c r="B192" s="45"/>
      <c r="C192" s="48" t="s">
        <v>97</v>
      </c>
      <c r="D192" s="228"/>
      <c r="E192" s="238"/>
      <c r="F192" s="71">
        <f>((('Emissions Assumptions'!D9/907185)+('Emissions Assumptions'!D11/907185))*'Forest Glen'!F36)+(('Emissions Assumptions'!D10/907185)*'Forest Glen'!F37)</f>
        <v>0</v>
      </c>
      <c r="G192" s="71">
        <f>((('Emissions Assumptions'!E9/907185)+('Emissions Assumptions'!E11/907185))*'Forest Glen'!G36)+(('Emissions Assumptions'!E10/907185)*'Forest Glen'!G37)</f>
        <v>0</v>
      </c>
      <c r="H192" s="71">
        <f>((('Emissions Assumptions'!F9/907185)+('Emissions Assumptions'!F11/907185))*'Forest Glen'!H36)+(('Emissions Assumptions'!F10/907185)*'Forest Glen'!H37)</f>
        <v>0</v>
      </c>
      <c r="I192" s="71">
        <f>((('Emissions Assumptions'!G9/907185)+('Emissions Assumptions'!G11/907185))*'Forest Glen'!I36)+(('Emissions Assumptions'!G10/907185)*'Forest Glen'!I37)</f>
        <v>0</v>
      </c>
      <c r="J192" s="71">
        <f>((('Emissions Assumptions'!H9/907185)+('Emissions Assumptions'!H11/907185))*'Forest Glen'!J36)+(('Emissions Assumptions'!H10/907185)*'Forest Glen'!J37)</f>
        <v>-7.0962567339840771E-2</v>
      </c>
      <c r="K192" s="71">
        <f>((('Emissions Assumptions'!I9/907185)+('Emissions Assumptions'!I11/907185))*'Forest Glen'!K36)+(('Emissions Assumptions'!I10/907185)*'Forest Glen'!K37)</f>
        <v>-9.165657642138858E-2</v>
      </c>
      <c r="L192" s="71">
        <f>((('Emissions Assumptions'!J9/907185)+('Emissions Assumptions'!J11/907185))*'Forest Glen'!L36)+(('Emissions Assumptions'!J10/907185)*'Forest Glen'!L37)</f>
        <v>-8.7650600165133347E-2</v>
      </c>
      <c r="M192" s="71">
        <f>((('Emissions Assumptions'!K9/907185)+('Emissions Assumptions'!K11/907185))*'Forest Glen'!M36)+(('Emissions Assumptions'!K10/907185)*'Forest Glen'!M37)</f>
        <v>-8.3472863503172817E-2</v>
      </c>
      <c r="N192" s="71">
        <f>((('Emissions Assumptions'!L9/907185)+('Emissions Assumptions'!L11/907185))*'Forest Glen'!N36)+(('Emissions Assumptions'!L10/907185)*'Forest Glen'!N37)</f>
        <v>-7.9115832371386585E-2</v>
      </c>
      <c r="O192" s="71">
        <f>((('Emissions Assumptions'!M9/907185)+('Emissions Assumptions'!M11/907185))*'Forest Glen'!O36)+(('Emissions Assumptions'!M10/907185)*'Forest Glen'!O37)</f>
        <v>-7.3634295330687466E-2</v>
      </c>
      <c r="P192" s="71">
        <f>((('Emissions Assumptions'!N9/907185)+('Emissions Assumptions'!N11/907185))*'Forest Glen'!P36)+(('Emissions Assumptions'!N10/907185)*'Forest Glen'!P37)</f>
        <v>-7.3244464284420593E-2</v>
      </c>
      <c r="Q192" s="71">
        <f>((('Emissions Assumptions'!O9/907185)+('Emissions Assumptions'!O11/907185))*'Forest Glen'!Q36)+(('Emissions Assumptions'!O10/907185)*'Forest Glen'!Q37)</f>
        <v>-7.2847226313245972E-2</v>
      </c>
      <c r="R192" s="71">
        <f>((('Emissions Assumptions'!P9/907185)+('Emissions Assumptions'!P11/907185))*'Forest Glen'!R36)+(('Emissions Assumptions'!P10/907185)*'Forest Glen'!R37)</f>
        <v>-7.2442452310536906E-2</v>
      </c>
      <c r="S192" s="71">
        <f>((('Emissions Assumptions'!Q9/907185)+('Emissions Assumptions'!Q11/907185))*'Forest Glen'!S36)+(('Emissions Assumptions'!Q10/907185)*'Forest Glen'!S37)</f>
        <v>-7.2030011294453314E-2</v>
      </c>
      <c r="T192" s="71">
        <f>((('Emissions Assumptions'!R9/907185)+('Emissions Assumptions'!R11/907185))*'Forest Glen'!T36)+(('Emissions Assumptions'!R10/907185)*'Forest Glen'!T37)</f>
        <v>-7.1609770383308888E-2</v>
      </c>
      <c r="U192" s="71">
        <f>((('Emissions Assumptions'!S9/907185)+('Emissions Assumptions'!S11/907185))*'Forest Glen'!U36)+(('Emissions Assumptions'!S10/907185)*'Forest Glen'!U37)</f>
        <v>-7.1181594770633377E-2</v>
      </c>
      <c r="V192" s="71">
        <f>((('Emissions Assumptions'!T9/907185)+('Emissions Assumptions'!T11/907185))*'Forest Glen'!V36)+(('Emissions Assumptions'!T10/907185)*'Forest Glen'!V37)</f>
        <v>-7.0745347699925909E-2</v>
      </c>
      <c r="W192" s="71">
        <f>((('Emissions Assumptions'!U9/907185)+('Emissions Assumptions'!U11/907185))*'Forest Glen'!W36)+(('Emissions Assumptions'!U10/907185)*'Forest Glen'!W37)</f>
        <v>-7.0300890439095737E-2</v>
      </c>
      <c r="X192" s="71">
        <f>((('Emissions Assumptions'!V9/907185)+('Emissions Assumptions'!V11/907185))*'Forest Glen'!X36)+(('Emissions Assumptions'!V10/907185)*'Forest Glen'!X37)</f>
        <v>-6.9848082254587149E-2</v>
      </c>
      <c r="Y192" s="71">
        <f>((('Emissions Assumptions'!W9/907185)+('Emissions Assumptions'!W11/907185))*'Forest Glen'!Y36)+(('Emissions Assumptions'!W10/907185)*'Forest Glen'!Y37)</f>
        <v>-6.9386780385183783E-2</v>
      </c>
      <c r="Z192" s="71">
        <f>((('Emissions Assumptions'!X9/907185)+('Emissions Assumptions'!X11/907185))*'Forest Glen'!Z36)+(('Emissions Assumptions'!X10/907185)*'Forest Glen'!Z37)</f>
        <v>-6.9868703009766178E-2</v>
      </c>
      <c r="AA192" s="71">
        <f>((('Emissions Assumptions'!Y9/907185)+('Emissions Assumptions'!Y11/907185))*'Forest Glen'!AA36)+(('Emissions Assumptions'!Y10/907185)*'Forest Glen'!AA37)</f>
        <v>-7.0355288021161727E-2</v>
      </c>
      <c r="AB192" s="71">
        <f>((('Emissions Assumptions'!Z9/907185)+('Emissions Assumptions'!Z11/907185))*'Forest Glen'!AB36)+(('Emissions Assumptions'!Z10/907185)*'Forest Glen'!AB37)</f>
        <v>-7.084658192717741E-2</v>
      </c>
      <c r="AC192" s="412">
        <f>((('Emissions Assumptions'!AA9/907185)+('Emissions Assumptions'!AA11/907185))*'Forest Glen'!AC36)+(('Emissions Assumptions'!AA10/907185)*'Forest Glen'!AC37)</f>
        <v>-7.1342631700612336E-2</v>
      </c>
      <c r="AD192" s="380">
        <f t="shared" si="49"/>
        <v>-1.4825425599257187</v>
      </c>
    </row>
    <row r="193" spans="1:30" s="53" customFormat="1" ht="12">
      <c r="A193" s="45"/>
      <c r="B193" s="45"/>
      <c r="C193" s="48" t="s">
        <v>98</v>
      </c>
      <c r="D193" s="228"/>
      <c r="E193" s="238"/>
      <c r="F193" s="71">
        <f>(('Emissions Assumptions'!D4/907185)*F31)+(('Emissions Assumptions'!D5/907185)*F32)</f>
        <v>0</v>
      </c>
      <c r="G193" s="71">
        <f>(('Emissions Assumptions'!E4/907185)*G31)+(('Emissions Assumptions'!E5/907185)*G32)</f>
        <v>-0.13117170224375405</v>
      </c>
      <c r="H193" s="71">
        <f>(('Emissions Assumptions'!F4/907185)*H31)+(('Emissions Assumptions'!F5/907185)*H32)</f>
        <v>-0.22910588804384821</v>
      </c>
      <c r="I193" s="71">
        <f>(('Emissions Assumptions'!G4/907185)*I31)+(('Emissions Assumptions'!G5/907185)*I32)</f>
        <v>-0.2134160881968972</v>
      </c>
      <c r="J193" s="71">
        <f>(('Emissions Assumptions'!H4/907185)*J31)+(('Emissions Assumptions'!H5/907185)*J32)</f>
        <v>-0.19766569976815274</v>
      </c>
      <c r="K193" s="71">
        <f>(('Emissions Assumptions'!I4/907185)*K31)+(('Emissions Assumptions'!I5/907185)*K32)</f>
        <v>-0.18185220112478362</v>
      </c>
      <c r="L193" s="71">
        <f>(('Emissions Assumptions'!J4/907185)*L31)+(('Emissions Assumptions'!J5/907185)*L32)</f>
        <v>-0.16597303659967838</v>
      </c>
      <c r="M193" s="71">
        <f>(('Emissions Assumptions'!K4/907185)*M31)+(('Emissions Assumptions'!K5/907185)*M32)</f>
        <v>-0.15002561606292303</v>
      </c>
      <c r="N193" s="71">
        <f>(('Emissions Assumptions'!L4/907185)*N31)+(('Emissions Assumptions'!L5/907185)*N32)</f>
        <v>-0.13400731448811146</v>
      </c>
      <c r="O193" s="71">
        <f>(('Emissions Assumptions'!M4/907185)*O31)+(('Emissions Assumptions'!M5/907185)*O32)</f>
        <v>-0.11904093441854398</v>
      </c>
      <c r="P193" s="71">
        <f>(('Emissions Assumptions'!N4/907185)*P31)+(('Emissions Assumptions'!N5/907185)*P32)</f>
        <v>-0.11822771198283893</v>
      </c>
      <c r="Q193" s="71">
        <f>(('Emissions Assumptions'!O4/907185)*Q31)+(('Emissions Assumptions'!O5/907185)*Q32)</f>
        <v>-0.11736810845488777</v>
      </c>
      <c r="R193" s="71">
        <f>(('Emissions Assumptions'!P4/907185)*R31)+(('Emissions Assumptions'!P5/907185)*R32)</f>
        <v>-0.11646180779930518</v>
      </c>
      <c r="S193" s="71">
        <f>(('Emissions Assumptions'!Q4/907185)*S31)+(('Emissions Assumptions'!Q5/907185)*S32)</f>
        <v>-0.11550848954304521</v>
      </c>
      <c r="T193" s="71">
        <f>(('Emissions Assumptions'!R4/907185)*T31)+(('Emissions Assumptions'!R5/907185)*T32)</f>
        <v>-0.11450782871825142</v>
      </c>
      <c r="U193" s="71">
        <f>(('Emissions Assumptions'!S4/907185)*U31)+(('Emissions Assumptions'!S5/907185)*U32)</f>
        <v>-0.11345949580440812</v>
      </c>
      <c r="V193" s="71">
        <f>(('Emissions Assumptions'!T4/907185)*V31)+(('Emissions Assumptions'!T5/907185)*V32)</f>
        <v>-0.11236315666978369</v>
      </c>
      <c r="W193" s="71">
        <f>(('Emissions Assumptions'!U4/907185)*W31)+(('Emissions Assumptions'!U5/907185)*W32)</f>
        <v>-0.11121847251215872</v>
      </c>
      <c r="X193" s="71">
        <f>(('Emissions Assumptions'!V4/907185)*X31)+(('Emissions Assumptions'!V5/907185)*X32)</f>
        <v>-0.11002509979882905</v>
      </c>
      <c r="Y193" s="71">
        <f>(('Emissions Assumptions'!W4/907185)*Y31)+(('Emissions Assumptions'!W5/907185)*Y32)</f>
        <v>-0.10878269020587647</v>
      </c>
      <c r="Z193" s="71">
        <f>(('Emissions Assumptions'!X4/907185)*Z31)+(('Emissions Assumptions'!X5/907185)*Z32)</f>
        <v>-0.11000115598840778</v>
      </c>
      <c r="AA193" s="71">
        <f>(('Emissions Assumptions'!Y4/907185)*AA31)+(('Emissions Assumptions'!Y5/907185)*AA32)</f>
        <v>-0.11122564307545571</v>
      </c>
      <c r="AB193" s="71">
        <f>(('Emissions Assumptions'!Z4/907185)*AB31)+(('Emissions Assumptions'!Z5/907185)*AB32)</f>
        <v>-0.1124562116800655</v>
      </c>
      <c r="AC193" s="412">
        <f>(('Emissions Assumptions'!AA4/907185)*AC31)+(('Emissions Assumptions'!AA5/907185)*AC32)</f>
        <v>-0.11369292261741271</v>
      </c>
      <c r="AD193" s="380">
        <f t="shared" si="49"/>
        <v>-3.1075572757974186</v>
      </c>
    </row>
    <row r="194" spans="1:30" s="53" customFormat="1" ht="12">
      <c r="A194" s="45"/>
      <c r="B194" s="45"/>
      <c r="C194" s="48" t="s">
        <v>99</v>
      </c>
      <c r="D194" s="228"/>
      <c r="E194" s="238"/>
      <c r="F194" s="71">
        <f>(('Emissions Assumptions'!D14/907185)*F31)+(('Emissions Assumptions'!D18/907185)*F32)+(('Emissions Assumptions'!D19/907185)*F31)</f>
        <v>0</v>
      </c>
      <c r="G194" s="71">
        <f>(('Emissions Assumptions'!E14/907185)*G31)+(('Emissions Assumptions'!E18/907185)*G32)+(('Emissions Assumptions'!E19/907185)*G31)</f>
        <v>-0.18191240546305326</v>
      </c>
      <c r="H194" s="71">
        <f>(('Emissions Assumptions'!F14/907185)*H31)+(('Emissions Assumptions'!F18/907185)*H32)+(('Emissions Assumptions'!F19/907185)*H31)</f>
        <v>-0.32188471654339712</v>
      </c>
      <c r="I194" s="71">
        <f>(('Emissions Assumptions'!G14/907185)*I31)+(('Emissions Assumptions'!G18/907185)*I32)+(('Emissions Assumptions'!G19/907185)*I31)</f>
        <v>-0.29943254815213693</v>
      </c>
      <c r="J194" s="71">
        <f>(('Emissions Assumptions'!H14/907185)*J31)+(('Emissions Assumptions'!H18/907185)*J32)+(('Emissions Assumptions'!H19/907185)*J31)</f>
        <v>-0.27689954280828893</v>
      </c>
      <c r="K194" s="71">
        <f>(('Emissions Assumptions'!I14/907185)*K31)+(('Emissions Assumptions'!I18/907185)*K32)+(('Emissions Assumptions'!I19/907185)*K31)</f>
        <v>-0.25428214980502156</v>
      </c>
      <c r="L194" s="71">
        <f>(('Emissions Assumptions'!J14/907185)*L31)+(('Emissions Assumptions'!J18/907185)*L32)+(('Emissions Assumptions'!J19/907185)*L31)</f>
        <v>-0.23157677052125453</v>
      </c>
      <c r="M194" s="71">
        <f>(('Emissions Assumptions'!K14/907185)*M31)+(('Emissions Assumptions'!K18/907185)*M32)+(('Emissions Assumptions'!K19/907185)*M31)</f>
        <v>-0.20877975781844527</v>
      </c>
      <c r="N194" s="71">
        <f>(('Emissions Assumptions'!L14/907185)*N31)+(('Emissions Assumptions'!L18/907185)*N32)+(('Emissions Assumptions'!L19/907185)*N31)</f>
        <v>-0.18588741543010129</v>
      </c>
      <c r="O194" s="71">
        <f>(('Emissions Assumptions'!M14/907185)*O31)+(('Emissions Assumptions'!M18/907185)*O32)+(('Emissions Assumptions'!M19/907185)*O31)</f>
        <v>-0.16447635501339766</v>
      </c>
      <c r="P194" s="71">
        <f>(('Emissions Assumptions'!N14/907185)*P31)+(('Emissions Assumptions'!N18/907185)*P32)+(('Emissions Assumptions'!N19/907185)*P31)</f>
        <v>-0.16202211010264905</v>
      </c>
      <c r="Q194" s="71">
        <f>(('Emissions Assumptions'!O14/907185)*Q31)+(('Emissions Assumptions'!O18/907185)*Q32)+(('Emissions Assumptions'!O19/907185)*Q31)</f>
        <v>-0.15947130525666403</v>
      </c>
      <c r="R194" s="71">
        <f>(('Emissions Assumptions'!P14/907185)*R31)+(('Emissions Assumptions'!P18/907185)*R32)+(('Emissions Assumptions'!P19/907185)*R31)</f>
        <v>-0.15682329746853493</v>
      </c>
      <c r="S194" s="71">
        <f>(('Emissions Assumptions'!Q14/907185)*S31)+(('Emissions Assumptions'!Q18/907185)*S32)+(('Emissions Assumptions'!Q19/907185)*S31)</f>
        <v>-0.15407743485252431</v>
      </c>
      <c r="T194" s="71">
        <f>(('Emissions Assumptions'!R14/907185)*T31)+(('Emissions Assumptions'!R18/907185)*T32)+(('Emissions Assumptions'!R19/907185)*T31)</f>
        <v>-0.15123305653078928</v>
      </c>
      <c r="U194" s="71">
        <f>(('Emissions Assumptions'!S14/907185)*U31)+(('Emissions Assumptions'!S18/907185)*U32)+(('Emissions Assumptions'!S19/907185)*U31)</f>
        <v>-0.14828949251872761</v>
      </c>
      <c r="V194" s="71">
        <f>(('Emissions Assumptions'!T14/907185)*V31)+(('Emissions Assumptions'!T18/907185)*V32)+(('Emissions Assumptions'!T19/907185)*V31)</f>
        <v>-0.14524606360893036</v>
      </c>
      <c r="W194" s="71">
        <f>(('Emissions Assumptions'!U14/907185)*W31)+(('Emissions Assumptions'!U18/907185)*W32)+(('Emissions Assumptions'!U19/907185)*W31)</f>
        <v>-0.14210208125372464</v>
      </c>
      <c r="X194" s="71">
        <f>(('Emissions Assumptions'!V14/907185)*X31)+(('Emissions Assumptions'!V18/907185)*X32)+(('Emissions Assumptions'!V19/907185)*X31)</f>
        <v>-0.13885684744628843</v>
      </c>
      <c r="Y194" s="71">
        <f>(('Emissions Assumptions'!W14/907185)*Y31)+(('Emissions Assumptions'!W18/907185)*Y32)+(('Emissions Assumptions'!W19/907185)*Y31)</f>
        <v>-0.13550965460032285</v>
      </c>
      <c r="Z194" s="71">
        <f>(('Emissions Assumptions'!X14/907185)*Z31)+(('Emissions Assumptions'!X18/907185)*Z32)+(('Emissions Assumptions'!X19/907185)*Z31)</f>
        <v>-0.13702905146377384</v>
      </c>
      <c r="AA194" s="71">
        <f>(('Emissions Assumptions'!Y14/907185)*AA31)+(('Emissions Assumptions'!Y18/907185)*AA32)+(('Emissions Assumptions'!Y19/907185)*AA31)</f>
        <v>-0.1385558908446719</v>
      </c>
      <c r="AB194" s="71">
        <f>(('Emissions Assumptions'!Z14/907185)*AB31)+(('Emissions Assumptions'!Z18/907185)*AB32)+(('Emissions Assumptions'!Z19/907185)*AB31)</f>
        <v>-0.14009024716819166</v>
      </c>
      <c r="AC194" s="412">
        <f>(('Emissions Assumptions'!AA14/907185)*AC31)+(('Emissions Assumptions'!AA18/907185)*AC32)+(('Emissions Assumptions'!AA19/907185)*AC31)</f>
        <v>-0.1416321956037592</v>
      </c>
      <c r="AD194" s="380">
        <f t="shared" si="49"/>
        <v>-4.1760703902746483</v>
      </c>
    </row>
    <row r="195" spans="1:30" s="53" customFormat="1" ht="12">
      <c r="A195" s="45"/>
      <c r="B195" s="45"/>
      <c r="C195" s="48" t="s">
        <v>100</v>
      </c>
      <c r="D195" s="228"/>
      <c r="E195" s="238"/>
      <c r="F195" s="71">
        <f>('Emissions Assumptions'!D21/907185)*F32</f>
        <v>0</v>
      </c>
      <c r="G195" s="71">
        <f>('Emissions Assumptions'!E21/907185)*G32</f>
        <v>-131.24589265322825</v>
      </c>
      <c r="H195" s="71">
        <f>('Emissions Assumptions'!F21/907185)*H32</f>
        <v>-246.33832282638241</v>
      </c>
      <c r="I195" s="71">
        <f>('Emissions Assumptions'!G21/907185)*I32</f>
        <v>-240.92333393053602</v>
      </c>
      <c r="J195" s="71">
        <f>('Emissions Assumptions'!H21/907185)*J32</f>
        <v>-235.49768147259215</v>
      </c>
      <c r="K195" s="71">
        <f>('Emissions Assumptions'!I21/907185)*K32</f>
        <v>-230.06055780853382</v>
      </c>
      <c r="L195" s="71">
        <f>('Emissions Assumptions'!J21/907185)*L32</f>
        <v>-224.61114409420495</v>
      </c>
      <c r="M195" s="71">
        <f>('Emissions Assumptions'!K21/907185)*M32</f>
        <v>-219.14861014207261</v>
      </c>
      <c r="N195" s="71">
        <f>('Emissions Assumptions'!L21/907185)*N32</f>
        <v>-213.67211427624346</v>
      </c>
      <c r="O195" s="71">
        <f>('Emissions Assumptions'!M21/907185)*O32</f>
        <v>-210.23371933088063</v>
      </c>
      <c r="P195" s="71">
        <f>('Emissions Assumptions'!N21/907185)*P32</f>
        <v>-210.05270355586563</v>
      </c>
      <c r="Q195" s="71">
        <f>('Emissions Assumptions'!O21/907185)*Q32</f>
        <v>-209.81840778080647</v>
      </c>
      <c r="R195" s="71">
        <f>('Emissions Assumptions'!P21/907185)*R32</f>
        <v>-209.53050108173957</v>
      </c>
      <c r="S195" s="71">
        <f>('Emissions Assumptions'!Q21/907185)*S32</f>
        <v>-209.18864773707</v>
      </c>
      <c r="T195" s="71">
        <f>('Emissions Assumptions'!R21/907185)*T32</f>
        <v>-208.79250716471117</v>
      </c>
      <c r="U195" s="71">
        <f>('Emissions Assumptions'!S21/907185)*U32</f>
        <v>-208.34173385844764</v>
      </c>
      <c r="V195" s="71">
        <f>('Emissions Assumptions'!T21/907185)*V32</f>
        <v>-207.83597732350992</v>
      </c>
      <c r="W195" s="71">
        <f>('Emissions Assumptions'!U21/907185)*W32</f>
        <v>-207.27488201135478</v>
      </c>
      <c r="X195" s="71">
        <f>('Emissions Assumptions'!V21/907185)*X32</f>
        <v>-206.65808725363871</v>
      </c>
      <c r="Y195" s="71">
        <f>('Emissions Assumptions'!W21/907185)*Y32</f>
        <v>-205.98522719537729</v>
      </c>
      <c r="Z195" s="71">
        <f>('Emissions Assumptions'!X21/907185)*Z32</f>
        <v>-208.29946366602985</v>
      </c>
      <c r="AA195" s="71">
        <f>('Emissions Assumptions'!Y21/907185)*AA32</f>
        <v>-210.62484102306138</v>
      </c>
      <c r="AB195" s="71">
        <f>('Emissions Assumptions'!Z21/907185)*AB32</f>
        <v>-212.96147067533582</v>
      </c>
      <c r="AC195" s="412">
        <f>('Emissions Assumptions'!AA21/907185)*AC32</f>
        <v>-215.30946514580543</v>
      </c>
      <c r="AD195" s="380">
        <f t="shared" si="49"/>
        <v>-4882.4052920074264</v>
      </c>
    </row>
    <row r="196" spans="1:30" s="53" customFormat="1" ht="12">
      <c r="A196" s="45"/>
      <c r="B196" s="45"/>
      <c r="C196" s="70" t="s">
        <v>115</v>
      </c>
      <c r="D196" s="228"/>
      <c r="E196" s="236"/>
      <c r="F196" s="45"/>
      <c r="G196" s="45"/>
      <c r="H196" s="45"/>
      <c r="I196" s="45"/>
      <c r="J196" s="45"/>
      <c r="K196" s="45"/>
      <c r="L196" s="45"/>
      <c r="M196" s="45"/>
      <c r="N196" s="45"/>
      <c r="O196" s="45"/>
      <c r="P196" s="45"/>
      <c r="Q196" s="45"/>
      <c r="R196" s="45"/>
      <c r="S196" s="45"/>
      <c r="T196" s="45"/>
      <c r="U196" s="45"/>
      <c r="V196" s="45"/>
      <c r="W196" s="45"/>
      <c r="X196" s="45"/>
      <c r="Y196" s="45"/>
      <c r="Z196" s="45"/>
      <c r="AA196" s="45"/>
      <c r="AB196" s="45"/>
      <c r="AC196" s="283"/>
      <c r="AD196" s="361">
        <f t="shared" si="49"/>
        <v>0</v>
      </c>
    </row>
    <row r="197" spans="1:30" s="53" customFormat="1" ht="12">
      <c r="A197" s="45"/>
      <c r="B197" s="45"/>
      <c r="C197" s="48" t="s">
        <v>43</v>
      </c>
      <c r="D197" s="228"/>
      <c r="E197" s="239"/>
      <c r="F197" s="56">
        <f>-(F192*'Emissions Assumptions'!D12)</f>
        <v>0</v>
      </c>
      <c r="G197" s="56">
        <f>-(G192*'Emissions Assumptions'!E12)</f>
        <v>0</v>
      </c>
      <c r="H197" s="56">
        <f>-(H192*'Emissions Assumptions'!F12)</f>
        <v>0</v>
      </c>
      <c r="I197" s="56">
        <f>-(I192*'Emissions Assumptions'!G12)</f>
        <v>0</v>
      </c>
      <c r="J197" s="56">
        <f>-(J192*'Emissions Assumptions'!H12)</f>
        <v>120.63636447772932</v>
      </c>
      <c r="K197" s="56">
        <f>-(K192*'Emissions Assumptions'!I12)</f>
        <v>155.8161799163606</v>
      </c>
      <c r="L197" s="56">
        <f>-(L192*'Emissions Assumptions'!J12)</f>
        <v>149.00602028072669</v>
      </c>
      <c r="M197" s="56">
        <f>-(M192*'Emissions Assumptions'!K12)</f>
        <v>141.90386795539379</v>
      </c>
      <c r="N197" s="56">
        <f>-(N192*'Emissions Assumptions'!L12)</f>
        <v>134.49691503135719</v>
      </c>
      <c r="O197" s="56">
        <f>-(O192*'Emissions Assumptions'!M12)</f>
        <v>125.1783020621687</v>
      </c>
      <c r="P197" s="56">
        <f>-(P192*'Emissions Assumptions'!N12)</f>
        <v>124.51558928351501</v>
      </c>
      <c r="Q197" s="56">
        <f>-(Q192*'Emissions Assumptions'!O12)</f>
        <v>123.84028473251816</v>
      </c>
      <c r="R197" s="56">
        <f>-(R192*'Emissions Assumptions'!P12)</f>
        <v>123.15216892791274</v>
      </c>
      <c r="S197" s="56">
        <f>-(S192*'Emissions Assumptions'!Q12)</f>
        <v>122.45101920057063</v>
      </c>
      <c r="T197" s="56">
        <f>-(T192*'Emissions Assumptions'!R12)</f>
        <v>121.73660965162512</v>
      </c>
      <c r="U197" s="56">
        <f>-(U192*'Emissions Assumptions'!S12)</f>
        <v>121.00871111007675</v>
      </c>
      <c r="V197" s="56">
        <f>-(V192*'Emissions Assumptions'!T12)</f>
        <v>120.26709108987404</v>
      </c>
      <c r="W197" s="56">
        <f>-(W192*'Emissions Assumptions'!U12)</f>
        <v>119.51151374646275</v>
      </c>
      <c r="X197" s="56">
        <f>-(X192*'Emissions Assumptions'!V12)</f>
        <v>118.74173983279815</v>
      </c>
      <c r="Y197" s="56">
        <f>-(Y192*'Emissions Assumptions'!W12)</f>
        <v>117.95752665481243</v>
      </c>
      <c r="Z197" s="56">
        <f>-(Z192*'Emissions Assumptions'!X12)</f>
        <v>118.7767951166025</v>
      </c>
      <c r="AA197" s="56">
        <f>-(AA192*'Emissions Assumptions'!Y12)</f>
        <v>119.60398963597494</v>
      </c>
      <c r="AB197" s="56">
        <f>-(AB192*'Emissions Assumptions'!Z12)</f>
        <v>120.4391892762016</v>
      </c>
      <c r="AC197" s="413">
        <f>-(AC192*'Emissions Assumptions'!AA12)</f>
        <v>121.28247389104096</v>
      </c>
      <c r="AD197" s="381">
        <f t="shared" si="49"/>
        <v>2520.3223518737213</v>
      </c>
    </row>
    <row r="198" spans="1:30" ht="13.5">
      <c r="A198" s="45"/>
      <c r="B198" s="45"/>
      <c r="C198" s="48" t="s">
        <v>119</v>
      </c>
      <c r="D198" s="228"/>
      <c r="E198" s="239"/>
      <c r="F198" s="56">
        <f>-(F193*'Emissions Assumptions'!D6)</f>
        <v>0</v>
      </c>
      <c r="G198" s="56">
        <f>-(G193*'Emissions Assumptions'!E6)</f>
        <v>524.68680897501622</v>
      </c>
      <c r="H198" s="56">
        <f>-(H193*'Emissions Assumptions'!F6)</f>
        <v>916.42355217539284</v>
      </c>
      <c r="I198" s="56">
        <f>-(I193*'Emissions Assumptions'!G6)</f>
        <v>853.66435278758877</v>
      </c>
      <c r="J198" s="56">
        <f>-(J193*'Emissions Assumptions'!H6)</f>
        <v>790.66279907261094</v>
      </c>
      <c r="K198" s="56">
        <f>-(K193*'Emissions Assumptions'!I6)</f>
        <v>727.40880449913448</v>
      </c>
      <c r="L198" s="56">
        <f>-(L193*'Emissions Assumptions'!J6)</f>
        <v>663.89214639871352</v>
      </c>
      <c r="M198" s="56">
        <f>-(M193*'Emissions Assumptions'!K6)</f>
        <v>600.10246425169214</v>
      </c>
      <c r="N198" s="56">
        <f>-(N193*'Emissions Assumptions'!L6)</f>
        <v>536.02925795244585</v>
      </c>
      <c r="O198" s="56">
        <f>-(O193*'Emissions Assumptions'!M6)</f>
        <v>476.16373767417593</v>
      </c>
      <c r="P198" s="56">
        <f>-(P193*'Emissions Assumptions'!N6)</f>
        <v>472.91084793135576</v>
      </c>
      <c r="Q198" s="56">
        <f>-(Q193*'Emissions Assumptions'!O6)</f>
        <v>469.47243381955104</v>
      </c>
      <c r="R198" s="56">
        <f>-(R193*'Emissions Assumptions'!P6)</f>
        <v>465.84723119722071</v>
      </c>
      <c r="S198" s="56">
        <f>-(S193*'Emissions Assumptions'!Q6)</f>
        <v>462.03395817218086</v>
      </c>
      <c r="T198" s="56">
        <f>-(T193*'Emissions Assumptions'!R6)</f>
        <v>458.03131487300567</v>
      </c>
      <c r="U198" s="56">
        <f>-(U193*'Emissions Assumptions'!S6)</f>
        <v>453.83798321763248</v>
      </c>
      <c r="V198" s="56">
        <f>-(V193*'Emissions Assumptions'!T6)</f>
        <v>449.45262667913477</v>
      </c>
      <c r="W198" s="56">
        <f>-(W193*'Emissions Assumptions'!U6)</f>
        <v>444.87389004863485</v>
      </c>
      <c r="X198" s="56">
        <f>-(X193*'Emissions Assumptions'!V6)</f>
        <v>440.10039919531619</v>
      </c>
      <c r="Y198" s="56">
        <f>-(Y193*'Emissions Assumptions'!W6)</f>
        <v>435.13076082350585</v>
      </c>
      <c r="Z198" s="56">
        <f>-(Z193*'Emissions Assumptions'!X6)</f>
        <v>440.0046239536311</v>
      </c>
      <c r="AA198" s="56">
        <f>-(AA193*'Emissions Assumptions'!Y6)</f>
        <v>444.90257230182283</v>
      </c>
      <c r="AB198" s="56">
        <f>-(AB193*'Emissions Assumptions'!Z6)</f>
        <v>449.82484672026203</v>
      </c>
      <c r="AC198" s="413">
        <f>-(AC193*'Emissions Assumptions'!AA6)</f>
        <v>454.77169046965082</v>
      </c>
      <c r="AD198" s="381">
        <f t="shared" si="49"/>
        <v>12430.229103189675</v>
      </c>
    </row>
    <row r="199" spans="1:30" ht="13.5">
      <c r="A199" s="45"/>
      <c r="B199" s="45"/>
      <c r="C199" s="48" t="s">
        <v>117</v>
      </c>
      <c r="D199" s="228"/>
      <c r="E199" s="239"/>
      <c r="F199" s="56">
        <f>-(F194*'Emissions Assumptions'!D15)</f>
        <v>0</v>
      </c>
      <c r="G199" s="56">
        <f>-(G194*'Emissions Assumptions'!E15)</f>
        <v>30561.284117792948</v>
      </c>
      <c r="H199" s="56">
        <f>-(H194*'Emissions Assumptions'!F15)</f>
        <v>54076.632379290713</v>
      </c>
      <c r="I199" s="56">
        <f>-(I194*'Emissions Assumptions'!G15)</f>
        <v>50304.668089559003</v>
      </c>
      <c r="J199" s="56">
        <f>-(J194*'Emissions Assumptions'!H15)</f>
        <v>46519.12319179254</v>
      </c>
      <c r="K199" s="56">
        <f>-(K194*'Emissions Assumptions'!I15)</f>
        <v>42719.401167243625</v>
      </c>
      <c r="L199" s="56">
        <f>-(L194*'Emissions Assumptions'!J15)</f>
        <v>38904.897447570758</v>
      </c>
      <c r="M199" s="56">
        <f>-(M194*'Emissions Assumptions'!K15)</f>
        <v>35074.999313498804</v>
      </c>
      <c r="N199" s="56">
        <f>-(N194*'Emissions Assumptions'!L15)</f>
        <v>31229.085792257018</v>
      </c>
      <c r="O199" s="56">
        <f>-(O194*'Emissions Assumptions'!M15)</f>
        <v>27632.027642250807</v>
      </c>
      <c r="P199" s="56">
        <f>-(P194*'Emissions Assumptions'!N15)</f>
        <v>27219.714497245041</v>
      </c>
      <c r="Q199" s="56">
        <f>-(Q194*'Emissions Assumptions'!O15)</f>
        <v>26791.179283119556</v>
      </c>
      <c r="R199" s="56">
        <f>-(R194*'Emissions Assumptions'!P15)</f>
        <v>26346.31397471387</v>
      </c>
      <c r="S199" s="56">
        <f>-(S194*'Emissions Assumptions'!Q15)</f>
        <v>25885.009055224084</v>
      </c>
      <c r="T199" s="56">
        <f>-(T194*'Emissions Assumptions'!R15)</f>
        <v>25407.1534971726</v>
      </c>
      <c r="U199" s="56">
        <f>-(U194*'Emissions Assumptions'!S15)</f>
        <v>24912.634743146238</v>
      </c>
      <c r="V199" s="56">
        <f>-(V194*'Emissions Assumptions'!T15)</f>
        <v>24401.3386863003</v>
      </c>
      <c r="W199" s="56">
        <f>-(W194*'Emissions Assumptions'!U15)</f>
        <v>23873.149650625739</v>
      </c>
      <c r="X199" s="56">
        <f>-(X194*'Emissions Assumptions'!V15)</f>
        <v>23327.950370976458</v>
      </c>
      <c r="Y199" s="56">
        <f>-(Y194*'Emissions Assumptions'!W15)</f>
        <v>22765.621972854238</v>
      </c>
      <c r="Z199" s="56">
        <f>-(Z194*'Emissions Assumptions'!X15)</f>
        <v>23020.880645914003</v>
      </c>
      <c r="AA199" s="56">
        <f>-(AA194*'Emissions Assumptions'!Y15)</f>
        <v>23277.389661904879</v>
      </c>
      <c r="AB199" s="56">
        <f>-(AB194*'Emissions Assumptions'!Z15)</f>
        <v>23535.161524256197</v>
      </c>
      <c r="AC199" s="413">
        <f>-(AC194*'Emissions Assumptions'!AA15)</f>
        <v>23794.208861431543</v>
      </c>
      <c r="AD199" s="381">
        <f t="shared" si="49"/>
        <v>701579.82556614105</v>
      </c>
    </row>
    <row r="200" spans="1:30" s="53" customFormat="1" ht="13.5">
      <c r="A200" s="45"/>
      <c r="B200" s="45"/>
      <c r="C200" s="48" t="s">
        <v>118</v>
      </c>
      <c r="D200" s="228"/>
      <c r="E200" s="239"/>
      <c r="F200" s="56">
        <f>-(F195*'Emissions Assumptions'!D22)</f>
        <v>0</v>
      </c>
      <c r="G200" s="56">
        <f>-(G195*'Emissions Assumptions'!E22)</f>
        <v>2808.6621027790843</v>
      </c>
      <c r="H200" s="56">
        <f>-(H195*'Emissions Assumptions'!F22)</f>
        <v>5271.6401084845829</v>
      </c>
      <c r="I200" s="56">
        <f>-(I195*'Emissions Assumptions'!G22)</f>
        <v>5155.7593461134702</v>
      </c>
      <c r="J200" s="56">
        <f>-(J195*'Emissions Assumptions'!H22)</f>
        <v>5039.6503835134718</v>
      </c>
      <c r="K200" s="56">
        <f>-(K195*'Emissions Assumptions'!I22)</f>
        <v>4923.2959371026236</v>
      </c>
      <c r="L200" s="56">
        <f>-(L195*'Emissions Assumptions'!J22)</f>
        <v>4806.6784836159859</v>
      </c>
      <c r="M200" s="56">
        <f>-(M195*'Emissions Assumptions'!K22)</f>
        <v>4689.7802570403537</v>
      </c>
      <c r="N200" s="56">
        <f>-(N195*'Emissions Assumptions'!L22)</f>
        <v>4572.5832455116097</v>
      </c>
      <c r="O200" s="56">
        <f>-(O195*'Emissions Assumptions'!M22)</f>
        <v>4499.001593680845</v>
      </c>
      <c r="P200" s="56">
        <f>-(P195*'Emissions Assumptions'!N22)</f>
        <v>4495.1278560955243</v>
      </c>
      <c r="Q200" s="56">
        <f>-(Q195*'Emissions Assumptions'!O22)</f>
        <v>4490.1139265092579</v>
      </c>
      <c r="R200" s="56">
        <f>-(R195*'Emissions Assumptions'!P22)</f>
        <v>4483.9527231492266</v>
      </c>
      <c r="S200" s="56">
        <f>-(S195*'Emissions Assumptions'!Q22)</f>
        <v>4476.6370615732976</v>
      </c>
      <c r="T200" s="56">
        <f>-(T195*'Emissions Assumptions'!R22)</f>
        <v>4468.1596533248185</v>
      </c>
      <c r="U200" s="56">
        <f>-(U195*'Emissions Assumptions'!S22)</f>
        <v>4458.5131045707794</v>
      </c>
      <c r="V200" s="56">
        <f>-(V195*'Emissions Assumptions'!T22)</f>
        <v>4447.6899147231125</v>
      </c>
      <c r="W200" s="56">
        <f>-(W195*'Emissions Assumptions'!U22)</f>
        <v>4435.6824750429923</v>
      </c>
      <c r="X200" s="56">
        <f>-(X195*'Emissions Assumptions'!V22)</f>
        <v>4422.4830672278686</v>
      </c>
      <c r="Y200" s="56">
        <f>-(Y195*'Emissions Assumptions'!W22)</f>
        <v>4408.0838619810738</v>
      </c>
      <c r="Z200" s="56">
        <f>-(Z195*'Emissions Assumptions'!X22)</f>
        <v>4457.6085224530389</v>
      </c>
      <c r="AA200" s="56">
        <f>-(AA195*'Emissions Assumptions'!Y22)</f>
        <v>4507.3715978935134</v>
      </c>
      <c r="AB200" s="56">
        <f>-(AB195*'Emissions Assumptions'!Z22)</f>
        <v>4557.3754724521859</v>
      </c>
      <c r="AC200" s="413">
        <f>-(AC195*'Emissions Assumptions'!AA22)</f>
        <v>4607.6225541202357</v>
      </c>
      <c r="AD200" s="381">
        <f t="shared" si="49"/>
        <v>104483.47324895892</v>
      </c>
    </row>
    <row r="201" spans="1:30" s="5" customFormat="1" ht="12">
      <c r="A201" s="58"/>
      <c r="B201" s="58"/>
      <c r="C201" s="62" t="s">
        <v>613</v>
      </c>
      <c r="D201" s="231"/>
      <c r="E201" s="239"/>
      <c r="F201" s="83">
        <f>SUM(F197:F200)</f>
        <v>0</v>
      </c>
      <c r="G201" s="83">
        <f t="shared" ref="G201:AC201" si="56">SUM(G197:G200)</f>
        <v>33894.633029547047</v>
      </c>
      <c r="H201" s="83">
        <f t="shared" si="56"/>
        <v>60264.696039950693</v>
      </c>
      <c r="I201" s="83">
        <f t="shared" si="56"/>
        <v>56314.091788460057</v>
      </c>
      <c r="J201" s="83">
        <f t="shared" si="56"/>
        <v>52470.072738856354</v>
      </c>
      <c r="K201" s="83">
        <f t="shared" si="56"/>
        <v>48525.922088761741</v>
      </c>
      <c r="L201" s="83">
        <f t="shared" si="56"/>
        <v>44524.474097866187</v>
      </c>
      <c r="M201" s="83">
        <f t="shared" si="56"/>
        <v>40506.78590274624</v>
      </c>
      <c r="N201" s="83">
        <f t="shared" si="56"/>
        <v>36472.195210752427</v>
      </c>
      <c r="O201" s="83">
        <f t="shared" si="56"/>
        <v>32732.371275667996</v>
      </c>
      <c r="P201" s="83">
        <f t="shared" si="56"/>
        <v>32312.268790555438</v>
      </c>
      <c r="Q201" s="83">
        <f t="shared" si="56"/>
        <v>31874.605928180881</v>
      </c>
      <c r="R201" s="83">
        <f t="shared" si="56"/>
        <v>31419.266097988228</v>
      </c>
      <c r="S201" s="83">
        <f t="shared" si="56"/>
        <v>30946.13109417013</v>
      </c>
      <c r="T201" s="83">
        <f t="shared" si="56"/>
        <v>30455.081075022048</v>
      </c>
      <c r="U201" s="83">
        <f t="shared" si="56"/>
        <v>29945.994542044726</v>
      </c>
      <c r="V201" s="83">
        <f t="shared" si="56"/>
        <v>29418.748318792423</v>
      </c>
      <c r="W201" s="83">
        <f t="shared" si="56"/>
        <v>28873.217529463829</v>
      </c>
      <c r="X201" s="83">
        <f t="shared" si="56"/>
        <v>28309.275577232442</v>
      </c>
      <c r="Y201" s="83">
        <f t="shared" si="56"/>
        <v>27726.794122313629</v>
      </c>
      <c r="Z201" s="83">
        <f t="shared" si="56"/>
        <v>28037.270587437277</v>
      </c>
      <c r="AA201" s="83">
        <f t="shared" si="56"/>
        <v>28349.26782173619</v>
      </c>
      <c r="AB201" s="83">
        <f t="shared" si="56"/>
        <v>28662.801032704847</v>
      </c>
      <c r="AC201" s="292">
        <f t="shared" si="56"/>
        <v>28977.885579912472</v>
      </c>
      <c r="AD201" s="378">
        <f t="shared" si="49"/>
        <v>821013.85027016327</v>
      </c>
    </row>
    <row r="202" spans="1:30" s="53" customFormat="1" ht="12">
      <c r="A202" s="45"/>
      <c r="B202" s="45"/>
      <c r="D202" s="228"/>
      <c r="E202" s="236"/>
      <c r="F202" s="45"/>
      <c r="G202" s="57"/>
      <c r="AC202" s="283"/>
      <c r="AD202" s="361">
        <f t="shared" si="49"/>
        <v>0</v>
      </c>
    </row>
    <row r="203" spans="1:30" s="53" customFormat="1" ht="12">
      <c r="A203" s="45"/>
      <c r="B203" s="45"/>
      <c r="C203" s="64" t="s">
        <v>91</v>
      </c>
      <c r="D203" s="228"/>
      <c r="E203" s="236"/>
      <c r="F203" s="45"/>
      <c r="G203" s="57"/>
      <c r="AC203" s="283"/>
      <c r="AD203" s="361">
        <f t="shared" si="49"/>
        <v>0</v>
      </c>
    </row>
    <row r="204" spans="1:30" s="53" customFormat="1" ht="24">
      <c r="A204" s="45"/>
      <c r="B204" s="45"/>
      <c r="C204" s="222" t="s">
        <v>132</v>
      </c>
      <c r="D204" s="279">
        <f>'Price Assumptions'!$B$22</f>
        <v>0.2</v>
      </c>
      <c r="E204" s="236"/>
      <c r="G204" s="97"/>
      <c r="H204" s="97"/>
      <c r="I204" s="97"/>
      <c r="J204" s="97"/>
      <c r="K204" s="97"/>
      <c r="L204" s="97"/>
      <c r="M204" s="97"/>
      <c r="N204" s="97"/>
      <c r="O204" s="97"/>
      <c r="P204" s="97"/>
      <c r="Q204" s="97"/>
      <c r="R204" s="97"/>
      <c r="S204" s="97"/>
      <c r="T204" s="97"/>
      <c r="U204" s="97"/>
      <c r="V204" s="97"/>
      <c r="W204" s="97"/>
      <c r="X204" s="97"/>
      <c r="Y204" s="97"/>
      <c r="AC204" s="283"/>
      <c r="AD204" s="361">
        <f t="shared" si="49"/>
        <v>0</v>
      </c>
    </row>
    <row r="205" spans="1:30" s="53" customFormat="1" ht="24">
      <c r="A205" s="45"/>
      <c r="B205" s="45"/>
      <c r="C205" s="303" t="s">
        <v>520</v>
      </c>
      <c r="D205" s="304">
        <f>'Price Assumptions'!$B$21</f>
        <v>5.4413625171743009E-2</v>
      </c>
      <c r="E205" s="236"/>
      <c r="G205" s="96"/>
      <c r="H205" s="96"/>
      <c r="I205" s="96"/>
      <c r="J205" s="96"/>
      <c r="K205" s="96"/>
      <c r="L205" s="96"/>
      <c r="M205" s="96"/>
      <c r="N205" s="96"/>
      <c r="O205" s="96"/>
      <c r="P205" s="96"/>
      <c r="Q205" s="96"/>
      <c r="R205" s="96"/>
      <c r="S205" s="96"/>
      <c r="T205" s="96"/>
      <c r="U205" s="96"/>
      <c r="V205" s="96"/>
      <c r="W205" s="96"/>
      <c r="X205" s="96"/>
      <c r="Y205" s="96"/>
      <c r="AC205" s="283"/>
      <c r="AD205" s="361">
        <f t="shared" si="49"/>
        <v>0</v>
      </c>
    </row>
    <row r="206" spans="1:30" s="5" customFormat="1" ht="12">
      <c r="A206" s="58"/>
      <c r="B206" s="58"/>
      <c r="C206" s="87" t="s">
        <v>521</v>
      </c>
      <c r="D206" s="231"/>
      <c r="E206" s="239"/>
      <c r="F206" s="83">
        <f>$D$205*$D$204*(F16+F17+F20+F21+F24+F25+F26)</f>
        <v>0</v>
      </c>
      <c r="G206" s="83">
        <f t="shared" ref="G206:AC206" si="57">$D$205*$D$204*(G16+G17+G20+G21+G24+G25+G26)</f>
        <v>1489.5729890764651</v>
      </c>
      <c r="H206" s="83">
        <f t="shared" si="57"/>
        <v>1532.358525604704</v>
      </c>
      <c r="I206" s="83">
        <f t="shared" si="57"/>
        <v>1547.2090997617656</v>
      </c>
      <c r="J206" s="83">
        <f t="shared" si="57"/>
        <v>1562.2101207907244</v>
      </c>
      <c r="K206" s="83">
        <f t="shared" si="57"/>
        <v>1577.3630931602986</v>
      </c>
      <c r="L206" s="83">
        <f t="shared" si="57"/>
        <v>1592.6695363838946</v>
      </c>
      <c r="M206" s="83">
        <f t="shared" si="57"/>
        <v>1608.130985170053</v>
      </c>
      <c r="N206" s="83">
        <f t="shared" si="57"/>
        <v>1623.748989574399</v>
      </c>
      <c r="O206" s="83">
        <f t="shared" si="57"/>
        <v>1640.113381286126</v>
      </c>
      <c r="P206" s="83">
        <f t="shared" si="57"/>
        <v>1656.6374753839661</v>
      </c>
      <c r="Q206" s="83">
        <f t="shared" si="57"/>
        <v>1673.3228688917809</v>
      </c>
      <c r="R206" s="83">
        <f t="shared" si="57"/>
        <v>1690.1711748036696</v>
      </c>
      <c r="S206" s="83">
        <f t="shared" si="57"/>
        <v>1707.1840222436738</v>
      </c>
      <c r="T206" s="83">
        <f t="shared" si="57"/>
        <v>1724.3630566270735</v>
      </c>
      <c r="U206" s="83">
        <f t="shared" si="57"/>
        <v>1741.7099398233031</v>
      </c>
      <c r="V206" s="83">
        <f t="shared" si="57"/>
        <v>1759.2263503204915</v>
      </c>
      <c r="W206" s="83">
        <f t="shared" si="57"/>
        <v>1776.9139833916474</v>
      </c>
      <c r="X206" s="83">
        <f t="shared" si="57"/>
        <v>1794.7745512625108</v>
      </c>
      <c r="Y206" s="83">
        <f t="shared" si="57"/>
        <v>1812.8097832810788</v>
      </c>
      <c r="Z206" s="83">
        <f t="shared" si="57"/>
        <v>1831.0214260888288</v>
      </c>
      <c r="AA206" s="83">
        <f t="shared" si="57"/>
        <v>1849.4112437936521</v>
      </c>
      <c r="AB206" s="83">
        <f t="shared" si="57"/>
        <v>1867.9810181445196</v>
      </c>
      <c r="AC206" s="292">
        <f t="shared" si="57"/>
        <v>1886.732548707892</v>
      </c>
      <c r="AD206" s="378">
        <f t="shared" si="49"/>
        <v>38945.636163572519</v>
      </c>
    </row>
    <row r="207" spans="1:30" s="112" customFormat="1" ht="12">
      <c r="A207" s="109"/>
      <c r="B207" s="109"/>
      <c r="C207" s="110"/>
      <c r="D207" s="227"/>
      <c r="E207" s="235"/>
      <c r="F207" s="111"/>
      <c r="G207" s="111"/>
      <c r="H207" s="111"/>
      <c r="I207" s="111"/>
      <c r="J207" s="111"/>
      <c r="K207" s="111"/>
      <c r="L207" s="111"/>
      <c r="M207" s="111"/>
      <c r="N207" s="111"/>
      <c r="O207" s="111"/>
      <c r="P207" s="111"/>
      <c r="Q207" s="111"/>
      <c r="R207" s="111"/>
      <c r="S207" s="111"/>
      <c r="T207" s="111"/>
      <c r="U207" s="111"/>
      <c r="V207" s="111"/>
      <c r="W207" s="111"/>
      <c r="X207" s="111"/>
      <c r="Y207" s="111"/>
      <c r="Z207" s="111"/>
      <c r="AC207" s="282"/>
      <c r="AD207" s="360">
        <f t="shared" si="49"/>
        <v>0</v>
      </c>
    </row>
    <row r="208" spans="1:30" s="112" customFormat="1" ht="12">
      <c r="A208" s="58" t="s">
        <v>361</v>
      </c>
      <c r="B208" s="58"/>
      <c r="C208" s="110"/>
      <c r="D208" s="227"/>
      <c r="E208" s="235"/>
      <c r="F208" s="111"/>
      <c r="G208" s="111"/>
      <c r="H208" s="111"/>
      <c r="I208" s="111"/>
      <c r="J208" s="111"/>
      <c r="K208" s="111"/>
      <c r="L208" s="111"/>
      <c r="M208" s="111"/>
      <c r="N208" s="111"/>
      <c r="O208" s="111"/>
      <c r="P208" s="111"/>
      <c r="Q208" s="111"/>
      <c r="R208" s="111"/>
      <c r="S208" s="111"/>
      <c r="T208" s="111"/>
      <c r="U208" s="111"/>
      <c r="V208" s="111"/>
      <c r="W208" s="111"/>
      <c r="X208" s="111"/>
      <c r="Y208" s="111"/>
      <c r="Z208" s="111"/>
      <c r="AC208" s="282"/>
      <c r="AD208" s="360">
        <f t="shared" si="49"/>
        <v>0</v>
      </c>
    </row>
    <row r="209" spans="1:30" s="112" customFormat="1" ht="12">
      <c r="A209" s="58"/>
      <c r="B209" s="58"/>
      <c r="C209" s="46" t="s">
        <v>39</v>
      </c>
      <c r="D209" s="229"/>
      <c r="E209" s="236"/>
      <c r="F209" s="45"/>
      <c r="G209" s="111"/>
      <c r="H209" s="111"/>
      <c r="I209" s="111"/>
      <c r="J209" s="111"/>
      <c r="K209" s="111"/>
      <c r="L209" s="111"/>
      <c r="M209" s="111"/>
      <c r="N209" s="111"/>
      <c r="O209" s="111"/>
      <c r="P209" s="111"/>
      <c r="Q209" s="111"/>
      <c r="R209" s="111"/>
      <c r="S209" s="111"/>
      <c r="T209" s="111"/>
      <c r="U209" s="111"/>
      <c r="V209" s="111"/>
      <c r="W209" s="111"/>
      <c r="X209" s="111"/>
      <c r="Y209" s="111"/>
      <c r="Z209" s="111"/>
      <c r="AC209" s="282"/>
      <c r="AD209" s="360">
        <f t="shared" si="49"/>
        <v>0</v>
      </c>
    </row>
    <row r="210" spans="1:30" s="112" customFormat="1" ht="12">
      <c r="A210" s="58"/>
      <c r="B210" s="58" t="s">
        <v>228</v>
      </c>
      <c r="D210" s="229"/>
      <c r="E210" s="236"/>
      <c r="F210" s="45"/>
      <c r="G210" s="111"/>
      <c r="H210" s="111"/>
      <c r="I210" s="111"/>
      <c r="J210" s="111"/>
      <c r="K210" s="111"/>
      <c r="L210" s="111"/>
      <c r="M210" s="111"/>
      <c r="N210" s="111"/>
      <c r="O210" s="111"/>
      <c r="P210" s="111"/>
      <c r="Q210" s="111"/>
      <c r="R210" s="111"/>
      <c r="S210" s="111"/>
      <c r="T210" s="111"/>
      <c r="U210" s="111"/>
      <c r="V210" s="111"/>
      <c r="W210" s="111"/>
      <c r="X210" s="111"/>
      <c r="Y210" s="111"/>
      <c r="Z210" s="111"/>
      <c r="AC210" s="282"/>
      <c r="AD210" s="360">
        <f t="shared" si="49"/>
        <v>0</v>
      </c>
    </row>
    <row r="211" spans="1:30" s="112" customFormat="1" ht="12">
      <c r="A211" s="58"/>
      <c r="B211" s="468" t="s">
        <v>609</v>
      </c>
      <c r="C211" s="78" t="s">
        <v>580</v>
      </c>
      <c r="D211" s="229"/>
      <c r="E211" s="236"/>
      <c r="F211" s="45"/>
      <c r="G211" s="111"/>
      <c r="H211" s="111"/>
      <c r="I211" s="55"/>
      <c r="J211" s="55"/>
      <c r="K211" s="55"/>
      <c r="L211" s="55"/>
      <c r="M211" s="55"/>
      <c r="N211" s="55"/>
      <c r="O211" s="55"/>
      <c r="P211" s="55"/>
      <c r="Q211" s="55"/>
      <c r="R211" s="55"/>
      <c r="S211" s="55"/>
      <c r="T211" s="55"/>
      <c r="U211" s="55"/>
      <c r="V211" s="55"/>
      <c r="W211" s="55"/>
      <c r="X211" s="55"/>
      <c r="Y211" s="55"/>
      <c r="Z211" s="55"/>
      <c r="AA211" s="55"/>
      <c r="AB211" s="55"/>
      <c r="AC211" s="290"/>
      <c r="AD211" s="376">
        <f t="shared" si="49"/>
        <v>0</v>
      </c>
    </row>
    <row r="212" spans="1:30" s="112" customFormat="1" ht="12">
      <c r="A212" s="58"/>
      <c r="C212" s="78" t="s">
        <v>559</v>
      </c>
      <c r="D212" s="229">
        <f>'Mode Operating Assumptions'!D191</f>
        <v>8.2555465307736857E-8</v>
      </c>
      <c r="E212" s="236"/>
      <c r="F212" s="55">
        <f>$D$212*(F$11+F$12-F$23)</f>
        <v>0</v>
      </c>
      <c r="G212" s="55">
        <f t="shared" ref="G212:AC212" si="58">$D$212*(G$11+G$12-G$23)</f>
        <v>-1.5066372418661975E-3</v>
      </c>
      <c r="H212" s="55">
        <f t="shared" si="58"/>
        <v>4.5180763114264846E-3</v>
      </c>
      <c r="I212" s="55">
        <f t="shared" si="58"/>
        <v>4.4608224116753949E-3</v>
      </c>
      <c r="J212" s="55">
        <f t="shared" si="58"/>
        <v>4.4034163415628772E-3</v>
      </c>
      <c r="K212" s="55">
        <f t="shared" si="58"/>
        <v>4.3458565793853161E-3</v>
      </c>
      <c r="L212" s="55">
        <f t="shared" si="58"/>
        <v>4.2881415882220627E-3</v>
      </c>
      <c r="M212" s="55">
        <f t="shared" si="58"/>
        <v>4.2302698157832561E-3</v>
      </c>
      <c r="N212" s="55">
        <f t="shared" si="58"/>
        <v>4.1722396942561468E-3</v>
      </c>
      <c r="O212" s="55">
        <f t="shared" si="58"/>
        <v>4.241443781935186E-3</v>
      </c>
      <c r="P212" s="55">
        <f t="shared" si="58"/>
        <v>4.3104863377092439E-3</v>
      </c>
      <c r="Q212" s="55">
        <f t="shared" si="58"/>
        <v>4.3793657462592719E-3</v>
      </c>
      <c r="R212" s="55">
        <f t="shared" si="58"/>
        <v>4.4480803761130306E-3</v>
      </c>
      <c r="S212" s="55">
        <f t="shared" si="58"/>
        <v>4.5166285794835523E-3</v>
      </c>
      <c r="T212" s="55">
        <f t="shared" si="58"/>
        <v>4.5850086921060103E-3</v>
      </c>
      <c r="U212" s="55">
        <f t="shared" si="58"/>
        <v>4.6532190330729238E-3</v>
      </c>
      <c r="V212" s="55">
        <f t="shared" si="58"/>
        <v>4.7212579046677318E-3</v>
      </c>
      <c r="W212" s="55">
        <f t="shared" si="58"/>
        <v>4.7891235921967189E-3</v>
      </c>
      <c r="X212" s="55">
        <f t="shared" si="58"/>
        <v>4.8568143638192257E-3</v>
      </c>
      <c r="Y212" s="55">
        <f t="shared" si="58"/>
        <v>4.9243284703761854E-3</v>
      </c>
      <c r="Z212" s="55">
        <f t="shared" si="58"/>
        <v>4.9916641452169451E-3</v>
      </c>
      <c r="AA212" s="55">
        <f t="shared" si="58"/>
        <v>5.0588196040243375E-3</v>
      </c>
      <c r="AB212" s="55">
        <f t="shared" si="58"/>
        <v>5.1257930446380381E-3</v>
      </c>
      <c r="AC212" s="55">
        <f t="shared" si="58"/>
        <v>5.1925826468760998E-3</v>
      </c>
      <c r="AD212" s="376">
        <f t="shared" si="49"/>
        <v>9.970680181893983E-2</v>
      </c>
    </row>
    <row r="213" spans="1:30" s="112" customFormat="1" ht="12">
      <c r="A213" s="58"/>
      <c r="C213" s="49" t="s">
        <v>40</v>
      </c>
      <c r="D213" s="328">
        <f>-'Mode Operating Assumptions'!C181</f>
        <v>-6200000</v>
      </c>
      <c r="E213" s="236"/>
      <c r="F213" s="275">
        <f>F212*$D$213</f>
        <v>0</v>
      </c>
      <c r="G213" s="275">
        <f t="shared" ref="G213:AC213" si="59">G212*$D$213</f>
        <v>9341.1508995704244</v>
      </c>
      <c r="H213" s="275">
        <f t="shared" si="59"/>
        <v>-28012.073130844205</v>
      </c>
      <c r="I213" s="275">
        <f t="shared" si="59"/>
        <v>-27657.098952387449</v>
      </c>
      <c r="J213" s="275">
        <f t="shared" si="59"/>
        <v>-27301.181317689839</v>
      </c>
      <c r="K213" s="275">
        <f t="shared" si="59"/>
        <v>-26944.31079218896</v>
      </c>
      <c r="L213" s="275">
        <f t="shared" si="59"/>
        <v>-26586.477846976788</v>
      </c>
      <c r="M213" s="275">
        <f t="shared" si="59"/>
        <v>-26227.672857856189</v>
      </c>
      <c r="N213" s="275">
        <f t="shared" si="59"/>
        <v>-25867.886104388112</v>
      </c>
      <c r="O213" s="275">
        <f t="shared" si="59"/>
        <v>-26296.951447998152</v>
      </c>
      <c r="P213" s="275">
        <f t="shared" si="59"/>
        <v>-26725.015293797311</v>
      </c>
      <c r="Q213" s="275">
        <f t="shared" si="59"/>
        <v>-27152.067626807486</v>
      </c>
      <c r="R213" s="275">
        <f t="shared" si="59"/>
        <v>-27578.09833190079</v>
      </c>
      <c r="S213" s="275">
        <f t="shared" si="59"/>
        <v>-28003.097192798024</v>
      </c>
      <c r="T213" s="275">
        <f t="shared" si="59"/>
        <v>-28427.053891057265</v>
      </c>
      <c r="U213" s="275">
        <f t="shared" si="59"/>
        <v>-28849.958005052129</v>
      </c>
      <c r="V213" s="275">
        <f t="shared" si="59"/>
        <v>-29271.799008939935</v>
      </c>
      <c r="W213" s="275">
        <f t="shared" si="59"/>
        <v>-29692.566271619657</v>
      </c>
      <c r="X213" s="275">
        <f t="shared" si="59"/>
        <v>-30112.2490556792</v>
      </c>
      <c r="Y213" s="275">
        <f t="shared" si="59"/>
        <v>-30530.836516332351</v>
      </c>
      <c r="Z213" s="275">
        <f t="shared" si="59"/>
        <v>-30948.317700345058</v>
      </c>
      <c r="AA213" s="275">
        <f t="shared" si="59"/>
        <v>-31364.681544950894</v>
      </c>
      <c r="AB213" s="275">
        <f t="shared" si="59"/>
        <v>-31779.916876755837</v>
      </c>
      <c r="AC213" s="275">
        <f t="shared" si="59"/>
        <v>-32194.012410631818</v>
      </c>
      <c r="AD213" s="383">
        <f t="shared" si="49"/>
        <v>-618182.17127742711</v>
      </c>
    </row>
    <row r="214" spans="1:30" s="112" customFormat="1" ht="12">
      <c r="A214" s="58"/>
      <c r="C214" s="78" t="s">
        <v>560</v>
      </c>
      <c r="D214" s="229">
        <f>'Mode Operating Assumptions'!D192</f>
        <v>2.5164317528336415E-6</v>
      </c>
      <c r="E214" s="236"/>
      <c r="F214" s="55">
        <f t="shared" ref="F214:AC214" si="60">$D$214*(F$11+F$12-F$23)</f>
        <v>0</v>
      </c>
      <c r="G214" s="55">
        <f t="shared" si="60"/>
        <v>-4.5924879489213956E-2</v>
      </c>
      <c r="H214" s="55">
        <f t="shared" si="60"/>
        <v>0.13771869190510871</v>
      </c>
      <c r="I214" s="55">
        <f t="shared" si="60"/>
        <v>0.13597349513624388</v>
      </c>
      <c r="J214" s="55">
        <f t="shared" si="60"/>
        <v>0.13422365995455063</v>
      </c>
      <c r="K214" s="55">
        <f t="shared" si="60"/>
        <v>0.13246913997590065</v>
      </c>
      <c r="L214" s="55">
        <f t="shared" si="60"/>
        <v>0.13070988835232447</v>
      </c>
      <c r="M214" s="55">
        <f t="shared" si="60"/>
        <v>0.12894585776737266</v>
      </c>
      <c r="N214" s="55">
        <f t="shared" si="60"/>
        <v>0.12717700043143165</v>
      </c>
      <c r="O214" s="55">
        <f t="shared" si="60"/>
        <v>0.12928645936322083</v>
      </c>
      <c r="P214" s="55">
        <f t="shared" si="60"/>
        <v>0.13139099452632585</v>
      </c>
      <c r="Q214" s="55">
        <f t="shared" si="60"/>
        <v>0.13349055668305987</v>
      </c>
      <c r="R214" s="55">
        <f t="shared" si="60"/>
        <v>0.1355850961033592</v>
      </c>
      <c r="S214" s="55">
        <f t="shared" si="60"/>
        <v>0.13767456255985935</v>
      </c>
      <c r="T214" s="55">
        <f t="shared" si="60"/>
        <v>0.13975890532292251</v>
      </c>
      <c r="U214" s="55">
        <f t="shared" si="60"/>
        <v>0.14183807315561431</v>
      </c>
      <c r="V214" s="55">
        <f t="shared" si="60"/>
        <v>0.14391201430863088</v>
      </c>
      <c r="W214" s="55">
        <f t="shared" si="60"/>
        <v>0.14598067651517557</v>
      </c>
      <c r="X214" s="55">
        <f t="shared" si="60"/>
        <v>0.14804400698578374</v>
      </c>
      <c r="Y214" s="55">
        <f t="shared" si="60"/>
        <v>0.15010195240309587</v>
      </c>
      <c r="Z214" s="55">
        <f t="shared" si="60"/>
        <v>0.15215445891657911</v>
      </c>
      <c r="AA214" s="55">
        <f t="shared" si="60"/>
        <v>0.15420147213719498</v>
      </c>
      <c r="AB214" s="55">
        <f t="shared" si="60"/>
        <v>0.15624293713201515</v>
      </c>
      <c r="AC214" s="55">
        <f t="shared" si="60"/>
        <v>0.15827879841878129</v>
      </c>
      <c r="AD214" s="376">
        <f t="shared" si="49"/>
        <v>3.039233818565338</v>
      </c>
    </row>
    <row r="215" spans="1:30" s="112" customFormat="1" ht="12">
      <c r="A215" s="58"/>
      <c r="C215" s="49" t="s">
        <v>41</v>
      </c>
      <c r="D215" s="328">
        <f>-'Mode Operating Assumptions'!C177</f>
        <v>-291400</v>
      </c>
      <c r="E215" s="236"/>
      <c r="F215" s="275">
        <f>F214*$D$215</f>
        <v>0</v>
      </c>
      <c r="G215" s="275">
        <f t="shared" ref="G215:AC215" si="61">G214*$D$215</f>
        <v>13382.509883156947</v>
      </c>
      <c r="H215" s="275">
        <f t="shared" si="61"/>
        <v>-40131.226821148681</v>
      </c>
      <c r="I215" s="275">
        <f t="shared" si="61"/>
        <v>-39622.676482701463</v>
      </c>
      <c r="J215" s="275">
        <f t="shared" si="61"/>
        <v>-39112.774510756055</v>
      </c>
      <c r="K215" s="275">
        <f t="shared" si="61"/>
        <v>-38601.50738897745</v>
      </c>
      <c r="L215" s="275">
        <f t="shared" si="61"/>
        <v>-38088.861465867354</v>
      </c>
      <c r="M215" s="275">
        <f t="shared" si="61"/>
        <v>-37574.822953412397</v>
      </c>
      <c r="N215" s="275">
        <f t="shared" si="61"/>
        <v>-37059.377925719185</v>
      </c>
      <c r="O215" s="275">
        <f t="shared" si="61"/>
        <v>-37674.074258442553</v>
      </c>
      <c r="P215" s="275">
        <f t="shared" si="61"/>
        <v>-38287.335804971357</v>
      </c>
      <c r="Q215" s="275">
        <f t="shared" si="61"/>
        <v>-38899.148217443646</v>
      </c>
      <c r="R215" s="275">
        <f t="shared" si="61"/>
        <v>-39509.497004518867</v>
      </c>
      <c r="S215" s="275">
        <f t="shared" si="61"/>
        <v>-40118.367529943018</v>
      </c>
      <c r="T215" s="275">
        <f t="shared" si="61"/>
        <v>-40725.745011099621</v>
      </c>
      <c r="U215" s="275">
        <f t="shared" si="61"/>
        <v>-41331.614517546011</v>
      </c>
      <c r="V215" s="275">
        <f t="shared" si="61"/>
        <v>-41935.960969535037</v>
      </c>
      <c r="W215" s="275">
        <f t="shared" si="61"/>
        <v>-42538.769136522162</v>
      </c>
      <c r="X215" s="275">
        <f t="shared" si="61"/>
        <v>-43140.023635657381</v>
      </c>
      <c r="Y215" s="275">
        <f t="shared" si="61"/>
        <v>-43739.708930262139</v>
      </c>
      <c r="Z215" s="275">
        <f t="shared" si="61"/>
        <v>-44337.80932829115</v>
      </c>
      <c r="AA215" s="275">
        <f t="shared" si="61"/>
        <v>-44934.308980778616</v>
      </c>
      <c r="AB215" s="275">
        <f t="shared" si="61"/>
        <v>-45529.191880269216</v>
      </c>
      <c r="AC215" s="275">
        <f t="shared" si="61"/>
        <v>-46122.441859232866</v>
      </c>
      <c r="AD215" s="383">
        <f t="shared" si="49"/>
        <v>-885632.73472993926</v>
      </c>
    </row>
    <row r="216" spans="1:30" s="112" customFormat="1" ht="12">
      <c r="A216" s="58"/>
      <c r="D216" s="229"/>
      <c r="E216" s="236"/>
      <c r="AD216" s="360">
        <f t="shared" si="49"/>
        <v>0</v>
      </c>
    </row>
    <row r="217" spans="1:30" s="112" customFormat="1" ht="12">
      <c r="A217" s="58"/>
      <c r="B217" s="469" t="s">
        <v>610</v>
      </c>
      <c r="C217" s="78" t="s">
        <v>608</v>
      </c>
      <c r="D217" s="467">
        <v>-0.2</v>
      </c>
      <c r="E217" s="236"/>
      <c r="F217" s="45"/>
      <c r="G217" s="45"/>
      <c r="H217" s="45"/>
      <c r="I217" s="45"/>
      <c r="J217" s="45"/>
      <c r="K217" s="45"/>
      <c r="L217" s="45"/>
      <c r="M217" s="45"/>
      <c r="N217" s="45"/>
      <c r="O217" s="45"/>
      <c r="P217" s="45"/>
      <c r="Q217" s="45"/>
      <c r="R217" s="45"/>
      <c r="S217" s="45"/>
      <c r="T217" s="45"/>
      <c r="U217" s="45"/>
      <c r="V217" s="45"/>
      <c r="W217" s="45"/>
      <c r="X217" s="45"/>
      <c r="Y217" s="45"/>
      <c r="Z217" s="45"/>
      <c r="AA217" s="45"/>
      <c r="AB217" s="45"/>
      <c r="AC217" s="45"/>
      <c r="AD217" s="360">
        <f>SUM(F217:AC217)</f>
        <v>0</v>
      </c>
    </row>
    <row r="218" spans="1:30" s="112" customFormat="1" ht="12">
      <c r="A218" s="58"/>
      <c r="B218" s="58"/>
      <c r="C218" s="78" t="s">
        <v>559</v>
      </c>
      <c r="D218" s="229">
        <f>D212*D$217</f>
        <v>-1.6511093061547371E-8</v>
      </c>
      <c r="E218" s="236"/>
      <c r="F218" s="55">
        <f>$D218*(F$10+F$11+F$12-$F23)</f>
        <v>0</v>
      </c>
      <c r="G218" s="55">
        <f t="shared" ref="G218:AC218" si="62">$D218*(G$10+G$11+G$12-$F23)</f>
        <v>0</v>
      </c>
      <c r="H218" s="55">
        <f t="shared" si="62"/>
        <v>-6.1605755242255714E-2</v>
      </c>
      <c r="I218" s="55">
        <f t="shared" si="62"/>
        <v>-6.1176979233451646E-2</v>
      </c>
      <c r="J218" s="55">
        <f t="shared" si="62"/>
        <v>-6.0748203224647593E-2</v>
      </c>
      <c r="K218" s="55">
        <f t="shared" si="62"/>
        <v>-6.0319427215843532E-2</v>
      </c>
      <c r="L218" s="55">
        <f t="shared" si="62"/>
        <v>-5.9890651207039479E-2</v>
      </c>
      <c r="M218" s="55">
        <f t="shared" si="62"/>
        <v>-5.9461875198235405E-2</v>
      </c>
      <c r="N218" s="55">
        <f t="shared" si="62"/>
        <v>-5.9033099189431358E-2</v>
      </c>
      <c r="O218" s="55">
        <f t="shared" si="62"/>
        <v>-5.9903743426837727E-2</v>
      </c>
      <c r="P218" s="55">
        <f t="shared" si="62"/>
        <v>-6.077438766424411E-2</v>
      </c>
      <c r="Q218" s="55">
        <f t="shared" si="62"/>
        <v>-6.16450319016505E-2</v>
      </c>
      <c r="R218" s="55">
        <f t="shared" si="62"/>
        <v>-6.2515676139056883E-2</v>
      </c>
      <c r="S218" s="55">
        <f t="shared" si="62"/>
        <v>-6.3386320376463273E-2</v>
      </c>
      <c r="T218" s="55">
        <f t="shared" si="62"/>
        <v>-6.4256964613869635E-2</v>
      </c>
      <c r="U218" s="55">
        <f t="shared" si="62"/>
        <v>-6.5127608851276039E-2</v>
      </c>
      <c r="V218" s="55">
        <f t="shared" si="62"/>
        <v>-6.5998253088682401E-2</v>
      </c>
      <c r="W218" s="55">
        <f t="shared" si="62"/>
        <v>-6.6868897326088791E-2</v>
      </c>
      <c r="X218" s="55">
        <f t="shared" si="62"/>
        <v>-6.7739541563495168E-2</v>
      </c>
      <c r="Y218" s="55">
        <f t="shared" si="62"/>
        <v>-6.8610185800901571E-2</v>
      </c>
      <c r="Z218" s="55">
        <f t="shared" si="62"/>
        <v>-6.9480830038307934E-2</v>
      </c>
      <c r="AA218" s="55">
        <f t="shared" si="62"/>
        <v>-7.035147427571431E-2</v>
      </c>
      <c r="AB218" s="55">
        <f t="shared" si="62"/>
        <v>-7.1222118513120727E-2</v>
      </c>
      <c r="AC218" s="55">
        <f t="shared" si="62"/>
        <v>-7.2092762750527076E-2</v>
      </c>
      <c r="AD218" s="361">
        <f>SUM(F218:AC218)</f>
        <v>-1.412209786841141</v>
      </c>
    </row>
    <row r="219" spans="1:30" s="112" customFormat="1" ht="12">
      <c r="A219" s="58"/>
      <c r="B219" s="58"/>
      <c r="C219" s="49" t="s">
        <v>40</v>
      </c>
      <c r="D219" s="328">
        <f>D213</f>
        <v>-6200000</v>
      </c>
      <c r="E219" s="236"/>
      <c r="F219" s="337">
        <f>F218*$D219</f>
        <v>0</v>
      </c>
      <c r="G219" s="337">
        <f t="shared" ref="G219:AC219" si="63">G218*$D219</f>
        <v>0</v>
      </c>
      <c r="H219" s="337">
        <f t="shared" si="63"/>
        <v>381955.6825019854</v>
      </c>
      <c r="I219" s="337">
        <f t="shared" si="63"/>
        <v>379297.2712474002</v>
      </c>
      <c r="J219" s="337">
        <f t="shared" si="63"/>
        <v>376638.85999281507</v>
      </c>
      <c r="K219" s="337">
        <f t="shared" si="63"/>
        <v>373980.44873822993</v>
      </c>
      <c r="L219" s="337">
        <f t="shared" si="63"/>
        <v>371322.03748364479</v>
      </c>
      <c r="M219" s="337">
        <f t="shared" si="63"/>
        <v>368663.62622905953</v>
      </c>
      <c r="N219" s="337">
        <f t="shared" si="63"/>
        <v>366005.21497447439</v>
      </c>
      <c r="O219" s="337">
        <f t="shared" si="63"/>
        <v>371403.20924639393</v>
      </c>
      <c r="P219" s="337">
        <f t="shared" si="63"/>
        <v>376801.20351831347</v>
      </c>
      <c r="Q219" s="337">
        <f t="shared" si="63"/>
        <v>382199.19779023313</v>
      </c>
      <c r="R219" s="337">
        <f t="shared" si="63"/>
        <v>387597.19206215267</v>
      </c>
      <c r="S219" s="337">
        <f t="shared" si="63"/>
        <v>392995.18633407232</v>
      </c>
      <c r="T219" s="337">
        <f t="shared" si="63"/>
        <v>398393.18060599174</v>
      </c>
      <c r="U219" s="337">
        <f t="shared" si="63"/>
        <v>403791.17487791146</v>
      </c>
      <c r="V219" s="337">
        <f t="shared" si="63"/>
        <v>409189.16914983088</v>
      </c>
      <c r="W219" s="337">
        <f t="shared" si="63"/>
        <v>414587.16342175053</v>
      </c>
      <c r="X219" s="337">
        <f t="shared" si="63"/>
        <v>419985.15769367001</v>
      </c>
      <c r="Y219" s="337">
        <f t="shared" si="63"/>
        <v>425383.15196558973</v>
      </c>
      <c r="Z219" s="337">
        <f t="shared" si="63"/>
        <v>430781.14623750921</v>
      </c>
      <c r="AA219" s="337">
        <f t="shared" si="63"/>
        <v>436179.14050942875</v>
      </c>
      <c r="AB219" s="337">
        <f t="shared" si="63"/>
        <v>441577.13478134852</v>
      </c>
      <c r="AC219" s="337">
        <f t="shared" si="63"/>
        <v>446975.12905326788</v>
      </c>
      <c r="AD219" s="382">
        <f>SUM(F219:AC219)</f>
        <v>8755700.6784150731</v>
      </c>
    </row>
    <row r="220" spans="1:30" s="112" customFormat="1" ht="12">
      <c r="A220" s="58"/>
      <c r="B220" s="58"/>
      <c r="C220" s="78" t="s">
        <v>560</v>
      </c>
      <c r="D220" s="229">
        <f>D214*D$217</f>
        <v>-5.032863505667283E-7</v>
      </c>
      <c r="E220" s="236"/>
      <c r="F220" s="55">
        <f>$D220*(F$10+F$11+F$12-$F23)</f>
        <v>0</v>
      </c>
      <c r="G220" s="55">
        <f t="shared" ref="G220:AC220" si="64">$D220*(G$10+G$11+G$12-$F23)</f>
        <v>0</v>
      </c>
      <c r="H220" s="55">
        <f t="shared" si="64"/>
        <v>-1.8778487659299912</v>
      </c>
      <c r="I220" s="55">
        <f t="shared" si="64"/>
        <v>-1.8647789399725483</v>
      </c>
      <c r="J220" s="55">
        <f t="shared" si="64"/>
        <v>-1.8517091140151059</v>
      </c>
      <c r="K220" s="55">
        <f t="shared" si="64"/>
        <v>-1.8386392880576632</v>
      </c>
      <c r="L220" s="55">
        <f t="shared" si="64"/>
        <v>-1.8255694621002208</v>
      </c>
      <c r="M220" s="55">
        <f t="shared" si="64"/>
        <v>-1.8124996361427776</v>
      </c>
      <c r="N220" s="55">
        <f t="shared" si="64"/>
        <v>-1.7994298101853357</v>
      </c>
      <c r="O220" s="55">
        <f t="shared" si="64"/>
        <v>-1.825968535347432</v>
      </c>
      <c r="P220" s="55">
        <f t="shared" si="64"/>
        <v>-1.852507260509529</v>
      </c>
      <c r="Q220" s="55">
        <f t="shared" si="64"/>
        <v>-1.879045985671626</v>
      </c>
      <c r="R220" s="55">
        <f t="shared" si="64"/>
        <v>-1.9055847108337229</v>
      </c>
      <c r="S220" s="55">
        <f t="shared" si="64"/>
        <v>-1.9321234359958197</v>
      </c>
      <c r="T220" s="55">
        <f t="shared" si="64"/>
        <v>-1.9586621611579162</v>
      </c>
      <c r="U220" s="55">
        <f t="shared" si="64"/>
        <v>-1.9852008863200137</v>
      </c>
      <c r="V220" s="55">
        <f t="shared" si="64"/>
        <v>-2.0117396114821102</v>
      </c>
      <c r="W220" s="55">
        <f t="shared" si="64"/>
        <v>-2.0382783366442072</v>
      </c>
      <c r="X220" s="55">
        <f t="shared" si="64"/>
        <v>-2.0648170618063038</v>
      </c>
      <c r="Y220" s="55">
        <f t="shared" si="64"/>
        <v>-2.0913557869684012</v>
      </c>
      <c r="Z220" s="55">
        <f t="shared" si="64"/>
        <v>-2.1178945121304977</v>
      </c>
      <c r="AA220" s="55">
        <f t="shared" si="64"/>
        <v>-2.1444332372925943</v>
      </c>
      <c r="AB220" s="55">
        <f t="shared" si="64"/>
        <v>-2.1709719624546922</v>
      </c>
      <c r="AC220" s="55">
        <f t="shared" si="64"/>
        <v>-2.1975106876167882</v>
      </c>
      <c r="AD220" s="361">
        <f>SUM(F220:AC220)</f>
        <v>-43.046569188635303</v>
      </c>
    </row>
    <row r="221" spans="1:30" s="112" customFormat="1" ht="12">
      <c r="A221" s="58"/>
      <c r="B221" s="58"/>
      <c r="C221" s="49" t="s">
        <v>41</v>
      </c>
      <c r="D221" s="328">
        <f>D215</f>
        <v>-291400</v>
      </c>
      <c r="E221" s="236"/>
      <c r="F221" s="337">
        <f>F220*$D221</f>
        <v>0</v>
      </c>
      <c r="G221" s="337">
        <f t="shared" ref="G221:AC221" si="65">G220*$D221</f>
        <v>0</v>
      </c>
      <c r="H221" s="337">
        <f t="shared" si="65"/>
        <v>547205.13039199938</v>
      </c>
      <c r="I221" s="337">
        <f t="shared" si="65"/>
        <v>543396.58310800057</v>
      </c>
      <c r="J221" s="337">
        <f t="shared" si="65"/>
        <v>539588.03582400188</v>
      </c>
      <c r="K221" s="337">
        <f t="shared" si="65"/>
        <v>535779.48854000308</v>
      </c>
      <c r="L221" s="337">
        <f t="shared" si="65"/>
        <v>531970.94125600427</v>
      </c>
      <c r="M221" s="337">
        <f t="shared" si="65"/>
        <v>528162.39397200546</v>
      </c>
      <c r="N221" s="337">
        <f t="shared" si="65"/>
        <v>524353.84668800677</v>
      </c>
      <c r="O221" s="337">
        <f t="shared" si="65"/>
        <v>532087.23120024172</v>
      </c>
      <c r="P221" s="337">
        <f t="shared" si="65"/>
        <v>539820.61571247678</v>
      </c>
      <c r="Q221" s="337">
        <f t="shared" si="65"/>
        <v>547554.00022471184</v>
      </c>
      <c r="R221" s="337">
        <f t="shared" si="65"/>
        <v>555287.3847369469</v>
      </c>
      <c r="S221" s="337">
        <f t="shared" si="65"/>
        <v>563020.76924918185</v>
      </c>
      <c r="T221" s="337">
        <f t="shared" si="65"/>
        <v>570754.15376141679</v>
      </c>
      <c r="U221" s="337">
        <f t="shared" si="65"/>
        <v>578487.53827365197</v>
      </c>
      <c r="V221" s="337">
        <f t="shared" si="65"/>
        <v>586220.92278588691</v>
      </c>
      <c r="W221" s="337">
        <f t="shared" si="65"/>
        <v>593954.30729812197</v>
      </c>
      <c r="X221" s="337">
        <f t="shared" si="65"/>
        <v>601687.69181035692</v>
      </c>
      <c r="Y221" s="337">
        <f t="shared" si="65"/>
        <v>609421.0763225921</v>
      </c>
      <c r="Z221" s="337">
        <f t="shared" si="65"/>
        <v>617154.46083482704</v>
      </c>
      <c r="AA221" s="337">
        <f t="shared" si="65"/>
        <v>624887.84534706199</v>
      </c>
      <c r="AB221" s="337">
        <f t="shared" si="65"/>
        <v>632621.22985929728</v>
      </c>
      <c r="AC221" s="337">
        <f t="shared" si="65"/>
        <v>640354.61437153211</v>
      </c>
      <c r="AD221" s="382">
        <f>SUM(F221:AC221)</f>
        <v>12543770.261568328</v>
      </c>
    </row>
    <row r="222" spans="1:30" s="112" customFormat="1" ht="12">
      <c r="A222" s="58"/>
      <c r="B222" s="58"/>
      <c r="C222" s="49"/>
      <c r="D222" s="328"/>
      <c r="E222" s="236"/>
      <c r="F222" s="337"/>
      <c r="G222" s="337"/>
      <c r="H222" s="337"/>
      <c r="I222" s="337"/>
      <c r="J222" s="337"/>
      <c r="K222" s="337"/>
      <c r="L222" s="337"/>
      <c r="M222" s="337"/>
      <c r="N222" s="337"/>
      <c r="O222" s="337"/>
      <c r="P222" s="337"/>
      <c r="Q222" s="337"/>
      <c r="R222" s="337"/>
      <c r="S222" s="337"/>
      <c r="T222" s="337"/>
      <c r="U222" s="337"/>
      <c r="V222" s="337"/>
      <c r="W222" s="337"/>
      <c r="X222" s="337"/>
      <c r="Y222" s="337"/>
      <c r="Z222" s="337"/>
      <c r="AA222" s="337"/>
      <c r="AB222" s="337"/>
      <c r="AC222" s="337"/>
      <c r="AD222" s="382"/>
    </row>
    <row r="223" spans="1:30" s="112" customFormat="1" ht="12">
      <c r="A223" s="58"/>
      <c r="B223" s="58" t="s">
        <v>225</v>
      </c>
      <c r="D223" s="229"/>
      <c r="E223" s="236"/>
      <c r="AD223" s="360"/>
    </row>
    <row r="224" spans="1:30" s="112" customFormat="1" ht="12">
      <c r="A224" s="58"/>
      <c r="B224" s="468" t="s">
        <v>609</v>
      </c>
      <c r="C224" s="78" t="s">
        <v>535</v>
      </c>
      <c r="D224" s="229"/>
      <c r="E224" s="236"/>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376">
        <f t="shared" si="49"/>
        <v>0</v>
      </c>
    </row>
    <row r="225" spans="1:30" s="112" customFormat="1" ht="12">
      <c r="A225" s="58"/>
      <c r="C225" s="78" t="s">
        <v>559</v>
      </c>
      <c r="D225" s="229">
        <f>'Mode Operating Assumptions'!$D$197</f>
        <v>1.8722590666405648E-7</v>
      </c>
      <c r="E225" s="236"/>
      <c r="F225" s="55">
        <f>$D$225*(F$16+F$17+F$20+F$21+F$23+F$24+F$25+F$26)</f>
        <v>0</v>
      </c>
      <c r="G225" s="55">
        <f t="shared" ref="G225:AC225" si="66">$D$225*(G$16+G$17+G$20+G$21+G$23+G$24+G$25+G$26)</f>
        <v>2.9043418771261761E-2</v>
      </c>
      <c r="H225" s="55">
        <f t="shared" si="66"/>
        <v>2.9813667924243222E-2</v>
      </c>
      <c r="I225" s="55">
        <f t="shared" si="66"/>
        <v>3.0103666942046064E-2</v>
      </c>
      <c r="J225" s="55">
        <f t="shared" si="66"/>
        <v>3.0396599345144805E-2</v>
      </c>
      <c r="K225" s="55">
        <f t="shared" si="66"/>
        <v>3.0692494467392403E-2</v>
      </c>
      <c r="L225" s="55">
        <f t="shared" si="66"/>
        <v>3.0991381935980344E-2</v>
      </c>
      <c r="M225" s="55">
        <f t="shared" si="66"/>
        <v>3.1293291674372038E-2</v>
      </c>
      <c r="N225" s="55">
        <f t="shared" si="66"/>
        <v>3.1598253905265522E-2</v>
      </c>
      <c r="O225" s="55">
        <f t="shared" si="66"/>
        <v>3.1916419657390241E-2</v>
      </c>
      <c r="P225" s="55">
        <f t="shared" si="66"/>
        <v>3.2237699257116038E-2</v>
      </c>
      <c r="Q225" s="55">
        <f t="shared" si="66"/>
        <v>3.2562123842918921E-2</v>
      </c>
      <c r="R225" s="55">
        <f t="shared" si="66"/>
        <v>3.2889724864659652E-2</v>
      </c>
      <c r="S225" s="55">
        <f t="shared" si="66"/>
        <v>3.3220534086697631E-2</v>
      </c>
      <c r="T225" s="55">
        <f t="shared" si="66"/>
        <v>3.3554583591035796E-2</v>
      </c>
      <c r="U225" s="55">
        <f t="shared" si="66"/>
        <v>3.3891905780497167E-2</v>
      </c>
      <c r="V225" s="55">
        <f t="shared" si="66"/>
        <v>3.4232533381932988E-2</v>
      </c>
      <c r="W225" s="55">
        <f t="shared" si="66"/>
        <v>3.4576499449462984E-2</v>
      </c>
      <c r="X225" s="55">
        <f t="shared" si="66"/>
        <v>3.4923837367748109E-2</v>
      </c>
      <c r="Y225" s="55">
        <f t="shared" si="66"/>
        <v>3.527458085529591E-2</v>
      </c>
      <c r="Z225" s="55">
        <f t="shared" si="66"/>
        <v>3.5628763967799008E-2</v>
      </c>
      <c r="AA225" s="55">
        <f t="shared" si="66"/>
        <v>3.5986421101506967E-2</v>
      </c>
      <c r="AB225" s="55">
        <f t="shared" si="66"/>
        <v>3.6347586996631834E-2</v>
      </c>
      <c r="AC225" s="55">
        <f t="shared" si="66"/>
        <v>3.671229674078777E-2</v>
      </c>
      <c r="AD225" s="376">
        <f t="shared" si="49"/>
        <v>0.75788828590718704</v>
      </c>
    </row>
    <row r="226" spans="1:30" s="112" customFormat="1" ht="12">
      <c r="A226" s="58"/>
      <c r="C226" s="49" t="s">
        <v>40</v>
      </c>
      <c r="D226" s="328">
        <f>D213</f>
        <v>-6200000</v>
      </c>
      <c r="E226" s="236"/>
      <c r="F226" s="275">
        <f>F225*$D$226</f>
        <v>0</v>
      </c>
      <c r="G226" s="275">
        <f t="shared" ref="G226:AC226" si="67">G225*$D$226</f>
        <v>-180069.19638182293</v>
      </c>
      <c r="H226" s="275">
        <f t="shared" si="67"/>
        <v>-184844.74113030799</v>
      </c>
      <c r="I226" s="275">
        <f t="shared" si="67"/>
        <v>-186642.7350406856</v>
      </c>
      <c r="J226" s="275">
        <f t="shared" si="67"/>
        <v>-188458.91593989779</v>
      </c>
      <c r="K226" s="275">
        <f t="shared" si="67"/>
        <v>-190293.4656978329</v>
      </c>
      <c r="L226" s="275">
        <f t="shared" si="67"/>
        <v>-192146.56800307814</v>
      </c>
      <c r="M226" s="275">
        <f t="shared" si="67"/>
        <v>-194018.40838110662</v>
      </c>
      <c r="N226" s="275">
        <f t="shared" si="67"/>
        <v>-195909.17421264623</v>
      </c>
      <c r="O226" s="275">
        <f t="shared" si="67"/>
        <v>-197881.80187581948</v>
      </c>
      <c r="P226" s="275">
        <f t="shared" si="67"/>
        <v>-199873.73539411943</v>
      </c>
      <c r="Q226" s="275">
        <f t="shared" si="67"/>
        <v>-201885.16782609731</v>
      </c>
      <c r="R226" s="275">
        <f t="shared" si="67"/>
        <v>-203916.29416088984</v>
      </c>
      <c r="S226" s="275">
        <f t="shared" si="67"/>
        <v>-205967.31133752532</v>
      </c>
      <c r="T226" s="275">
        <f t="shared" si="67"/>
        <v>-208038.41826442193</v>
      </c>
      <c r="U226" s="275">
        <f t="shared" si="67"/>
        <v>-210129.81583908244</v>
      </c>
      <c r="V226" s="275">
        <f t="shared" si="67"/>
        <v>-212241.70696798453</v>
      </c>
      <c r="W226" s="275">
        <f t="shared" si="67"/>
        <v>-214374.29658667051</v>
      </c>
      <c r="X226" s="275">
        <f t="shared" si="67"/>
        <v>-216527.79168003827</v>
      </c>
      <c r="Y226" s="275">
        <f t="shared" si="67"/>
        <v>-218702.40130283465</v>
      </c>
      <c r="Z226" s="275">
        <f t="shared" si="67"/>
        <v>-220898.33660035385</v>
      </c>
      <c r="AA226" s="275">
        <f t="shared" si="67"/>
        <v>-223115.81082934319</v>
      </c>
      <c r="AB226" s="275">
        <f t="shared" si="67"/>
        <v>-225355.03937911737</v>
      </c>
      <c r="AC226" s="275">
        <f t="shared" si="67"/>
        <v>-227616.23979288418</v>
      </c>
      <c r="AD226" s="369">
        <f t="shared" si="49"/>
        <v>-4698907.3726245603</v>
      </c>
    </row>
    <row r="227" spans="1:30" s="112" customFormat="1" ht="12">
      <c r="A227" s="58"/>
      <c r="C227" s="78" t="s">
        <v>560</v>
      </c>
      <c r="D227" s="229">
        <f>'Mode Operating Assumptions'!$D$198</f>
        <v>8.7375046258002826E-6</v>
      </c>
      <c r="E227" s="236"/>
      <c r="F227" s="55">
        <f t="shared" ref="F227:AC227" si="68">$D$227*(F$16+F$17+F$20+F$21+F$23+F$24+F$25+F$26)</f>
        <v>0</v>
      </c>
      <c r="G227" s="55">
        <f t="shared" si="68"/>
        <v>1.3554054050772688</v>
      </c>
      <c r="H227" s="55">
        <f t="shared" si="68"/>
        <v>1.3913515818490023</v>
      </c>
      <c r="I227" s="55">
        <f t="shared" si="68"/>
        <v>1.404885327283476</v>
      </c>
      <c r="J227" s="55">
        <f t="shared" si="68"/>
        <v>1.4185559686638627</v>
      </c>
      <c r="K227" s="55">
        <f t="shared" si="68"/>
        <v>1.4323648749496212</v>
      </c>
      <c r="L227" s="55">
        <f t="shared" si="68"/>
        <v>1.4463134287898052</v>
      </c>
      <c r="M227" s="55">
        <f t="shared" si="68"/>
        <v>1.4604030266599595</v>
      </c>
      <c r="N227" s="55">
        <f t="shared" si="68"/>
        <v>1.4746350790003833</v>
      </c>
      <c r="O227" s="55">
        <f t="shared" si="68"/>
        <v>1.4894833165145922</v>
      </c>
      <c r="P227" s="55">
        <f t="shared" si="68"/>
        <v>1.504476871833923</v>
      </c>
      <c r="Q227" s="55">
        <f t="shared" si="68"/>
        <v>1.519617198136427</v>
      </c>
      <c r="R227" s="55">
        <f t="shared" si="68"/>
        <v>1.5349057631319363</v>
      </c>
      <c r="S227" s="55">
        <f t="shared" si="68"/>
        <v>1.550344049207381</v>
      </c>
      <c r="T227" s="55">
        <f t="shared" si="68"/>
        <v>1.5659335535735592</v>
      </c>
      <c r="U227" s="55">
        <f t="shared" si="68"/>
        <v>1.5816757884133794</v>
      </c>
      <c r="V227" s="55">
        <f t="shared" si="68"/>
        <v>1.5975722810315782</v>
      </c>
      <c r="W227" s="55">
        <f t="shared" si="68"/>
        <v>1.6136245740059385</v>
      </c>
      <c r="X227" s="55">
        <f t="shared" si="68"/>
        <v>1.6298342253400226</v>
      </c>
      <c r="Y227" s="55">
        <f t="shared" si="68"/>
        <v>1.6462028086174274</v>
      </c>
      <c r="Z227" s="55">
        <f t="shared" si="68"/>
        <v>1.6627319131575862</v>
      </c>
      <c r="AA227" s="55">
        <f t="shared" si="68"/>
        <v>1.6794231441731264</v>
      </c>
      <c r="AB227" s="55">
        <f t="shared" si="68"/>
        <v>1.6962781229288022</v>
      </c>
      <c r="AC227" s="55">
        <f t="shared" si="68"/>
        <v>1.7132984869020145</v>
      </c>
      <c r="AD227" s="376">
        <f t="shared" si="49"/>
        <v>35.369316789241068</v>
      </c>
    </row>
    <row r="228" spans="1:30" s="112" customFormat="1" ht="12">
      <c r="A228" s="58"/>
      <c r="C228" s="49" t="s">
        <v>41</v>
      </c>
      <c r="D228" s="328">
        <f>D215</f>
        <v>-291400</v>
      </c>
      <c r="E228" s="236"/>
      <c r="F228" s="275">
        <f>F227*$D$228</f>
        <v>0</v>
      </c>
      <c r="G228" s="275">
        <f t="shared" ref="G228:AC228" si="69">G227*$D$228</f>
        <v>-394965.13503951614</v>
      </c>
      <c r="H228" s="275">
        <f t="shared" si="69"/>
        <v>-405439.8509507993</v>
      </c>
      <c r="I228" s="275">
        <f t="shared" si="69"/>
        <v>-409383.58437040489</v>
      </c>
      <c r="J228" s="275">
        <f t="shared" si="69"/>
        <v>-413367.20926864957</v>
      </c>
      <c r="K228" s="275">
        <f t="shared" si="69"/>
        <v>-417391.12456031959</v>
      </c>
      <c r="L228" s="275">
        <f t="shared" si="69"/>
        <v>-421455.73314934922</v>
      </c>
      <c r="M228" s="275">
        <f t="shared" si="69"/>
        <v>-425561.4419687122</v>
      </c>
      <c r="N228" s="275">
        <f t="shared" si="69"/>
        <v>-429708.66202071169</v>
      </c>
      <c r="O228" s="275">
        <f t="shared" si="69"/>
        <v>-434035.43843235215</v>
      </c>
      <c r="P228" s="275">
        <f t="shared" si="69"/>
        <v>-438404.56045240513</v>
      </c>
      <c r="Q228" s="275">
        <f t="shared" si="69"/>
        <v>-442816.45153695485</v>
      </c>
      <c r="R228" s="275">
        <f t="shared" si="69"/>
        <v>-447271.53937664622</v>
      </c>
      <c r="S228" s="275">
        <f t="shared" si="69"/>
        <v>-451770.25593903085</v>
      </c>
      <c r="T228" s="275">
        <f t="shared" si="69"/>
        <v>-456313.03751133516</v>
      </c>
      <c r="U228" s="275">
        <f t="shared" si="69"/>
        <v>-460900.32474365877</v>
      </c>
      <c r="V228" s="275">
        <f t="shared" si="69"/>
        <v>-465532.56269260187</v>
      </c>
      <c r="W228" s="275">
        <f t="shared" si="69"/>
        <v>-470210.20086533047</v>
      </c>
      <c r="X228" s="275">
        <f t="shared" si="69"/>
        <v>-474933.6932640826</v>
      </c>
      <c r="Y228" s="275">
        <f t="shared" si="69"/>
        <v>-479703.49843111832</v>
      </c>
      <c r="Z228" s="275">
        <f t="shared" si="69"/>
        <v>-484520.07949412061</v>
      </c>
      <c r="AA228" s="275">
        <f t="shared" si="69"/>
        <v>-489383.90421204903</v>
      </c>
      <c r="AB228" s="275">
        <f t="shared" si="69"/>
        <v>-494295.44502145296</v>
      </c>
      <c r="AC228" s="275">
        <f t="shared" si="69"/>
        <v>-499255.17908324703</v>
      </c>
      <c r="AD228" s="369">
        <f t="shared" ref="AD228:AD253" si="70">SUM(F228:AC228)</f>
        <v>-10306618.912384847</v>
      </c>
    </row>
    <row r="229" spans="1:30" s="112" customFormat="1" ht="12">
      <c r="A229" s="58"/>
      <c r="C229" s="49"/>
      <c r="D229" s="328"/>
      <c r="E229" s="236"/>
      <c r="F229" s="275"/>
      <c r="G229" s="275"/>
      <c r="H229" s="275"/>
      <c r="I229" s="275"/>
      <c r="J229" s="275"/>
      <c r="K229" s="275"/>
      <c r="L229" s="275"/>
      <c r="M229" s="275"/>
      <c r="N229" s="275"/>
      <c r="O229" s="275"/>
      <c r="P229" s="275"/>
      <c r="Q229" s="275"/>
      <c r="R229" s="275"/>
      <c r="S229" s="275"/>
      <c r="T229" s="275"/>
      <c r="U229" s="275"/>
      <c r="V229" s="275"/>
      <c r="W229" s="275"/>
      <c r="X229" s="275"/>
      <c r="Y229" s="275"/>
      <c r="Z229" s="275"/>
      <c r="AA229" s="275"/>
      <c r="AB229" s="275"/>
      <c r="AC229" s="275"/>
      <c r="AD229" s="369"/>
    </row>
    <row r="230" spans="1:30" s="112" customFormat="1" ht="12">
      <c r="A230" s="58"/>
      <c r="B230" s="469" t="s">
        <v>610</v>
      </c>
      <c r="C230" s="78" t="s">
        <v>608</v>
      </c>
      <c r="D230" s="467">
        <v>-0.5</v>
      </c>
      <c r="E230" s="236"/>
      <c r="F230" s="45"/>
      <c r="G230" s="45"/>
      <c r="H230" s="45"/>
      <c r="I230" s="45"/>
      <c r="J230" s="45"/>
      <c r="K230" s="45"/>
      <c r="L230" s="45"/>
      <c r="M230" s="45"/>
      <c r="N230" s="45"/>
      <c r="O230" s="45"/>
      <c r="P230" s="45"/>
      <c r="Q230" s="45"/>
      <c r="R230" s="45"/>
      <c r="S230" s="45"/>
      <c r="T230" s="45"/>
      <c r="U230" s="45"/>
      <c r="V230" s="45"/>
      <c r="W230" s="45"/>
      <c r="X230" s="45"/>
      <c r="Y230" s="45"/>
      <c r="Z230" s="45"/>
      <c r="AA230" s="45"/>
      <c r="AB230" s="45"/>
      <c r="AC230" s="45"/>
      <c r="AD230" s="360">
        <f>SUM(F230:AC230)</f>
        <v>0</v>
      </c>
    </row>
    <row r="231" spans="1:30" s="112" customFormat="1" ht="12">
      <c r="A231" s="58"/>
      <c r="B231" s="58"/>
      <c r="C231" s="78" t="s">
        <v>559</v>
      </c>
      <c r="D231" s="229">
        <f>D225*D$230</f>
        <v>-9.3612953332028241E-8</v>
      </c>
      <c r="E231" s="236"/>
      <c r="F231" s="55">
        <f>$D$231*(F15+F$16+F$17+F$20+F$21+F$23+F$24+F$25+F$26)</f>
        <v>0</v>
      </c>
      <c r="G231" s="55">
        <f t="shared" ref="G231:AC231" si="71">$D$231*(G15+G$16+G$17+G$20+G$21+G$23+G$24+G$25+G$26)</f>
        <v>-1.452170938563088E-2</v>
      </c>
      <c r="H231" s="55">
        <f t="shared" si="71"/>
        <v>-1.8905292006028626E-2</v>
      </c>
      <c r="I231" s="55">
        <f t="shared" si="71"/>
        <v>-1.9022462250039208E-2</v>
      </c>
      <c r="J231" s="55">
        <f t="shared" si="71"/>
        <v>-1.9141099186697742E-2</v>
      </c>
      <c r="K231" s="55">
        <f t="shared" si="71"/>
        <v>-1.9261217482930703E-2</v>
      </c>
      <c r="L231" s="55">
        <f t="shared" si="71"/>
        <v>-1.9382831952333833E-2</v>
      </c>
      <c r="M231" s="55">
        <f t="shared" si="71"/>
        <v>-1.950595755663884E-2</v>
      </c>
      <c r="N231" s="55">
        <f t="shared" si="71"/>
        <v>-1.963060940719474E-2</v>
      </c>
      <c r="O231" s="55">
        <f t="shared" si="71"/>
        <v>-1.9846200550069991E-2</v>
      </c>
      <c r="P231" s="55">
        <f t="shared" si="71"/>
        <v>-2.0063348616745771E-2</v>
      </c>
      <c r="Q231" s="55">
        <f t="shared" si="71"/>
        <v>-2.0282069176460103E-2</v>
      </c>
      <c r="R231" s="55">
        <f t="shared" si="71"/>
        <v>-2.0502377954143357E-2</v>
      </c>
      <c r="S231" s="55">
        <f t="shared" si="71"/>
        <v>-2.0724290831975231E-2</v>
      </c>
      <c r="T231" s="55">
        <f t="shared" si="71"/>
        <v>-2.0947823850957201E-2</v>
      </c>
      <c r="U231" s="55">
        <f t="shared" si="71"/>
        <v>-2.1172993212500778E-2</v>
      </c>
      <c r="V231" s="55">
        <f t="shared" si="71"/>
        <v>-2.1399815280031577E-2</v>
      </c>
      <c r="W231" s="55">
        <f t="shared" si="71"/>
        <v>-2.162830658060946E-2</v>
      </c>
      <c r="X231" s="55">
        <f t="shared" si="71"/>
        <v>-2.1858483806564914E-2</v>
      </c>
      <c r="Y231" s="55">
        <f t="shared" si="71"/>
        <v>-2.2090363817151702E-2</v>
      </c>
      <c r="Z231" s="55">
        <f t="shared" si="71"/>
        <v>-2.2323963640216136E-2</v>
      </c>
      <c r="AA231" s="55">
        <f t="shared" si="71"/>
        <v>-2.2559300473883003E-2</v>
      </c>
      <c r="AB231" s="55">
        <f t="shared" si="71"/>
        <v>-2.2796391688258328E-2</v>
      </c>
      <c r="AC231" s="55">
        <f t="shared" si="71"/>
        <v>-2.3035254827149181E-2</v>
      </c>
      <c r="AD231" s="361">
        <f>SUM(F231:AC231)</f>
        <v>-0.4706021635342113</v>
      </c>
    </row>
    <row r="232" spans="1:30" s="112" customFormat="1" ht="12">
      <c r="A232" s="58"/>
      <c r="B232" s="58"/>
      <c r="C232" s="49" t="s">
        <v>40</v>
      </c>
      <c r="D232" s="328">
        <f>D226</f>
        <v>-6200000</v>
      </c>
      <c r="E232" s="236"/>
      <c r="F232" s="337">
        <f t="shared" ref="F232" si="72">F231*$D$232</f>
        <v>0</v>
      </c>
      <c r="G232" s="337">
        <f t="shared" ref="G232:AC232" si="73">G231*$D$232</f>
        <v>90034.598190911463</v>
      </c>
      <c r="H232" s="337">
        <f t="shared" si="73"/>
        <v>117212.81043737748</v>
      </c>
      <c r="I232" s="337">
        <f t="shared" si="73"/>
        <v>117939.26595024309</v>
      </c>
      <c r="J232" s="337">
        <f t="shared" si="73"/>
        <v>118674.814957526</v>
      </c>
      <c r="K232" s="337">
        <f t="shared" si="73"/>
        <v>119419.54839417036</v>
      </c>
      <c r="L232" s="337">
        <f t="shared" si="73"/>
        <v>120173.55810446976</v>
      </c>
      <c r="M232" s="337">
        <f t="shared" si="73"/>
        <v>120936.9368511608</v>
      </c>
      <c r="N232" s="337">
        <f t="shared" si="73"/>
        <v>121709.77832460738</v>
      </c>
      <c r="O232" s="337">
        <f t="shared" si="73"/>
        <v>123046.44341043395</v>
      </c>
      <c r="P232" s="337">
        <f t="shared" si="73"/>
        <v>124392.76142382377</v>
      </c>
      <c r="Q232" s="337">
        <f t="shared" si="73"/>
        <v>125748.82889405264</v>
      </c>
      <c r="R232" s="337">
        <f t="shared" si="73"/>
        <v>127114.74331568881</v>
      </c>
      <c r="S232" s="337">
        <f t="shared" si="73"/>
        <v>128490.60315824643</v>
      </c>
      <c r="T232" s="337">
        <f t="shared" si="73"/>
        <v>129876.50787593465</v>
      </c>
      <c r="U232" s="337">
        <f t="shared" si="73"/>
        <v>131272.55791750483</v>
      </c>
      <c r="V232" s="337">
        <f t="shared" si="73"/>
        <v>132678.85473619579</v>
      </c>
      <c r="W232" s="337">
        <f t="shared" si="73"/>
        <v>134095.50079977865</v>
      </c>
      <c r="X232" s="337">
        <f t="shared" si="73"/>
        <v>135522.59960070247</v>
      </c>
      <c r="Y232" s="337">
        <f t="shared" si="73"/>
        <v>136960.25566634056</v>
      </c>
      <c r="Z232" s="337">
        <f t="shared" si="73"/>
        <v>138408.57456934004</v>
      </c>
      <c r="AA232" s="337">
        <f t="shared" si="73"/>
        <v>139867.66293807462</v>
      </c>
      <c r="AB232" s="337">
        <f t="shared" si="73"/>
        <v>141337.62846720163</v>
      </c>
      <c r="AC232" s="337">
        <f t="shared" si="73"/>
        <v>142818.57992832491</v>
      </c>
      <c r="AD232" s="382">
        <f>SUM(F232:AC232)</f>
        <v>2917733.4139121105</v>
      </c>
    </row>
    <row r="233" spans="1:30" s="112" customFormat="1" ht="12">
      <c r="A233" s="58"/>
      <c r="B233" s="58"/>
      <c r="C233" s="78" t="s">
        <v>560</v>
      </c>
      <c r="D233" s="229">
        <f>D227*D$230</f>
        <v>-4.3687523129001413E-6</v>
      </c>
      <c r="E233" s="236"/>
      <c r="F233" s="55">
        <f>$D$233*(F$15+F$16+F$17+F$20+F$21+F$23+F$24+F$25+F$26)</f>
        <v>0</v>
      </c>
      <c r="G233" s="55">
        <f t="shared" ref="G233:AC233" si="74">$D$233*(G$15+G$16+G$17+G$20+G$21+G$23+G$24+G$25+G$26)</f>
        <v>-0.67770270253863441</v>
      </c>
      <c r="H233" s="55">
        <f t="shared" si="74"/>
        <v>-0.88227681359917465</v>
      </c>
      <c r="I233" s="55">
        <f t="shared" si="74"/>
        <v>-0.88774494334302245</v>
      </c>
      <c r="J233" s="55">
        <f t="shared" si="74"/>
        <v>-0.89328152105982683</v>
      </c>
      <c r="K233" s="55">
        <f t="shared" si="74"/>
        <v>-0.89888723122931713</v>
      </c>
      <c r="L233" s="55">
        <f t="shared" si="74"/>
        <v>-0.90456276517602008</v>
      </c>
      <c r="M233" s="55">
        <f t="shared" si="74"/>
        <v>-0.91030882113770817</v>
      </c>
      <c r="N233" s="55">
        <f t="shared" si="74"/>
        <v>-0.91612610433453112</v>
      </c>
      <c r="O233" s="55">
        <f t="shared" si="74"/>
        <v>-0.92618736477502184</v>
      </c>
      <c r="P233" s="55">
        <f t="shared" si="74"/>
        <v>-0.93632128411807325</v>
      </c>
      <c r="Q233" s="55">
        <f t="shared" si="74"/>
        <v>-0.94652858895271164</v>
      </c>
      <c r="R233" s="55">
        <f t="shared" si="74"/>
        <v>-0.9568100131338525</v>
      </c>
      <c r="S233" s="55">
        <f t="shared" si="74"/>
        <v>-0.967166297854961</v>
      </c>
      <c r="T233" s="55">
        <f t="shared" si="74"/>
        <v>-0.97759819172143647</v>
      </c>
      <c r="U233" s="55">
        <f t="shared" si="74"/>
        <v>-0.98810645082473281</v>
      </c>
      <c r="V233" s="55">
        <f t="shared" si="74"/>
        <v>-0.99869183881721846</v>
      </c>
      <c r="W233" s="55">
        <f t="shared" si="74"/>
        <v>-1.0093551269877847</v>
      </c>
      <c r="X233" s="55">
        <f t="shared" si="74"/>
        <v>-1.0200970943382131</v>
      </c>
      <c r="Y233" s="55">
        <f t="shared" si="74"/>
        <v>-1.0309185276603017</v>
      </c>
      <c r="Z233" s="55">
        <f t="shared" si="74"/>
        <v>-1.0418202216137671</v>
      </c>
      <c r="AA233" s="55">
        <f t="shared" si="74"/>
        <v>-1.0528029788049236</v>
      </c>
      <c r="AB233" s="55">
        <f t="shared" si="74"/>
        <v>-1.0638676098661477</v>
      </c>
      <c r="AC233" s="55">
        <f t="shared" si="74"/>
        <v>-1.0750149335361401</v>
      </c>
      <c r="AD233" s="361">
        <f>SUM(F233:AC233)</f>
        <v>-21.962177425423519</v>
      </c>
    </row>
    <row r="234" spans="1:30" s="112" customFormat="1" ht="12">
      <c r="A234" s="58"/>
      <c r="B234" s="58"/>
      <c r="C234" s="49" t="s">
        <v>41</v>
      </c>
      <c r="D234" s="328">
        <f>D228</f>
        <v>-291400</v>
      </c>
      <c r="E234" s="236"/>
      <c r="F234" s="337">
        <f t="shared" ref="F234" si="75">F233*$D$234</f>
        <v>0</v>
      </c>
      <c r="G234" s="337">
        <f t="shared" ref="G234:AC234" si="76">G233*$D$234</f>
        <v>197482.56751975807</v>
      </c>
      <c r="H234" s="337">
        <f t="shared" si="76"/>
        <v>257095.4634827995</v>
      </c>
      <c r="I234" s="337">
        <f t="shared" si="76"/>
        <v>258688.87649015675</v>
      </c>
      <c r="J234" s="337">
        <f t="shared" si="76"/>
        <v>260302.23523683354</v>
      </c>
      <c r="K234" s="337">
        <f t="shared" si="76"/>
        <v>261935.739180223</v>
      </c>
      <c r="L234" s="337">
        <f t="shared" si="76"/>
        <v>263589.58977229224</v>
      </c>
      <c r="M234" s="337">
        <f t="shared" si="76"/>
        <v>265263.99047952815</v>
      </c>
      <c r="N234" s="337">
        <f t="shared" si="76"/>
        <v>266959.14680308237</v>
      </c>
      <c r="O234" s="337">
        <f t="shared" si="76"/>
        <v>269890.99809544138</v>
      </c>
      <c r="P234" s="337">
        <f t="shared" si="76"/>
        <v>272844.02219200652</v>
      </c>
      <c r="Q234" s="337">
        <f t="shared" si="76"/>
        <v>275818.43082082015</v>
      </c>
      <c r="R234" s="337">
        <f t="shared" si="76"/>
        <v>278814.43782720465</v>
      </c>
      <c r="S234" s="337">
        <f t="shared" si="76"/>
        <v>281832.25919493561</v>
      </c>
      <c r="T234" s="337">
        <f t="shared" si="76"/>
        <v>284872.1130676266</v>
      </c>
      <c r="U234" s="337">
        <f t="shared" si="76"/>
        <v>287934.21977032715</v>
      </c>
      <c r="V234" s="337">
        <f t="shared" si="76"/>
        <v>291018.80183133745</v>
      </c>
      <c r="W234" s="337">
        <f t="shared" si="76"/>
        <v>294126.08400424046</v>
      </c>
      <c r="X234" s="337">
        <f t="shared" si="76"/>
        <v>297256.2932901553</v>
      </c>
      <c r="Y234" s="337">
        <f t="shared" si="76"/>
        <v>300409.65896021191</v>
      </c>
      <c r="Z234" s="337">
        <f t="shared" si="76"/>
        <v>303586.41257825174</v>
      </c>
      <c r="AA234" s="337">
        <f t="shared" si="76"/>
        <v>306786.78802375472</v>
      </c>
      <c r="AB234" s="337">
        <f t="shared" si="76"/>
        <v>310011.02151499543</v>
      </c>
      <c r="AC234" s="337">
        <f t="shared" si="76"/>
        <v>313259.35163243121</v>
      </c>
      <c r="AD234" s="382">
        <f>SUM(F234:AC234)</f>
        <v>6399778.5017684139</v>
      </c>
    </row>
    <row r="235" spans="1:30" s="112" customFormat="1" ht="12">
      <c r="A235" s="58"/>
      <c r="B235" s="58"/>
      <c r="C235" s="49"/>
      <c r="D235" s="229"/>
      <c r="E235" s="236"/>
      <c r="F235" s="275"/>
      <c r="G235" s="275"/>
      <c r="H235" s="275"/>
      <c r="I235" s="275"/>
      <c r="J235" s="275"/>
      <c r="K235" s="275"/>
      <c r="L235" s="275"/>
      <c r="M235" s="275"/>
      <c r="N235" s="275"/>
      <c r="O235" s="275"/>
      <c r="P235" s="275"/>
      <c r="Q235" s="275"/>
      <c r="R235" s="275"/>
      <c r="S235" s="275"/>
      <c r="T235" s="275"/>
      <c r="U235" s="275"/>
      <c r="V235" s="275"/>
      <c r="W235" s="275"/>
      <c r="X235" s="275"/>
      <c r="Y235" s="275"/>
      <c r="Z235" s="275"/>
      <c r="AA235" s="275"/>
      <c r="AB235" s="275"/>
      <c r="AC235" s="288"/>
      <c r="AD235" s="369">
        <f t="shared" si="70"/>
        <v>0</v>
      </c>
    </row>
    <row r="236" spans="1:30" s="112" customFormat="1" ht="12">
      <c r="A236" s="58"/>
      <c r="B236" s="58" t="s">
        <v>545</v>
      </c>
      <c r="C236" s="78" t="s">
        <v>603</v>
      </c>
      <c r="D236" s="229"/>
      <c r="E236" s="236"/>
      <c r="AC236" s="282"/>
      <c r="AD236" s="360">
        <f t="shared" si="70"/>
        <v>0</v>
      </c>
    </row>
    <row r="237" spans="1:30" s="112" customFormat="1" ht="12">
      <c r="A237" s="58"/>
      <c r="B237" s="58"/>
      <c r="C237" s="78" t="s">
        <v>559</v>
      </c>
      <c r="D237" s="229">
        <f>'Mode Operating Assumptions'!$D$186</f>
        <v>8.6836127924972328E-9</v>
      </c>
      <c r="E237" s="236"/>
      <c r="F237" s="55">
        <f>$D237*F$32</f>
        <v>0</v>
      </c>
      <c r="G237" s="55">
        <f t="shared" ref="G237:AC237" si="77">$D237*G$32</f>
        <v>-2.3438590559188717E-3</v>
      </c>
      <c r="H237" s="55">
        <f t="shared" si="77"/>
        <v>-4.504333345011091E-3</v>
      </c>
      <c r="I237" s="55">
        <f t="shared" si="77"/>
        <v>-4.5131325546681192E-3</v>
      </c>
      <c r="J237" s="55">
        <f t="shared" si="77"/>
        <v>-4.5221684940897951E-3</v>
      </c>
      <c r="K237" s="55">
        <f t="shared" si="77"/>
        <v>-4.5314435305737659E-3</v>
      </c>
      <c r="L237" s="55">
        <f t="shared" si="77"/>
        <v>-4.5409600550906527E-3</v>
      </c>
      <c r="M237" s="55">
        <f t="shared" si="77"/>
        <v>-4.5507204825207866E-3</v>
      </c>
      <c r="N237" s="55">
        <f t="shared" si="77"/>
        <v>-4.560727251893301E-3</v>
      </c>
      <c r="O237" s="55">
        <f t="shared" si="77"/>
        <v>-4.6160582817150256E-3</v>
      </c>
      <c r="P237" s="55">
        <f t="shared" si="77"/>
        <v>-4.6716406049521712E-3</v>
      </c>
      <c r="Q237" s="55">
        <f t="shared" si="77"/>
        <v>-4.7274767345388928E-3</v>
      </c>
      <c r="R237" s="55">
        <f t="shared" si="77"/>
        <v>-4.783569208538686E-3</v>
      </c>
      <c r="S237" s="55">
        <f t="shared" si="77"/>
        <v>-4.8399205903956787E-3</v>
      </c>
      <c r="T237" s="55">
        <f t="shared" si="77"/>
        <v>-4.896533469188444E-3</v>
      </c>
      <c r="U237" s="55">
        <f t="shared" si="77"/>
        <v>-4.9534104598863427E-3</v>
      </c>
      <c r="V237" s="55">
        <f t="shared" si="77"/>
        <v>-5.0105542036084222E-3</v>
      </c>
      <c r="W237" s="55">
        <f t="shared" si="77"/>
        <v>-5.067967367884927E-3</v>
      </c>
      <c r="X237" s="55">
        <f t="shared" si="77"/>
        <v>-5.1256526469213998E-3</v>
      </c>
      <c r="Y237" s="55">
        <f t="shared" si="77"/>
        <v>-5.1836127618654403E-3</v>
      </c>
      <c r="Z237" s="55">
        <f t="shared" si="77"/>
        <v>-5.2418504610761262E-3</v>
      </c>
      <c r="AA237" s="55">
        <f t="shared" si="77"/>
        <v>-5.30036852039612E-3</v>
      </c>
      <c r="AB237" s="55">
        <f t="shared" si="77"/>
        <v>-5.3591697434265204E-3</v>
      </c>
      <c r="AC237" s="290">
        <f t="shared" si="77"/>
        <v>-5.4182569618044258E-3</v>
      </c>
      <c r="AD237" s="376">
        <f t="shared" si="70"/>
        <v>-0.10926338678596499</v>
      </c>
    </row>
    <row r="238" spans="1:30" s="112" customFormat="1" ht="12">
      <c r="A238" s="58"/>
      <c r="B238" s="58"/>
      <c r="C238" s="49" t="s">
        <v>40</v>
      </c>
      <c r="D238" s="328">
        <f>D226</f>
        <v>-6200000</v>
      </c>
      <c r="E238" s="236"/>
      <c r="F238" s="275">
        <f>F237*$D$238</f>
        <v>0</v>
      </c>
      <c r="G238" s="275">
        <f t="shared" ref="G238:AC238" si="78">G237*$D$238</f>
        <v>14531.926146697006</v>
      </c>
      <c r="H238" s="275">
        <f t="shared" si="78"/>
        <v>27926.866739068762</v>
      </c>
      <c r="I238" s="275">
        <f t="shared" si="78"/>
        <v>27981.42183894234</v>
      </c>
      <c r="J238" s="275">
        <f t="shared" si="78"/>
        <v>28037.444663356731</v>
      </c>
      <c r="K238" s="275">
        <f t="shared" si="78"/>
        <v>28094.949889557349</v>
      </c>
      <c r="L238" s="275">
        <f t="shared" si="78"/>
        <v>28153.952341562046</v>
      </c>
      <c r="M238" s="275">
        <f t="shared" si="78"/>
        <v>28214.466991628877</v>
      </c>
      <c r="N238" s="275">
        <f t="shared" si="78"/>
        <v>28276.508961738466</v>
      </c>
      <c r="O238" s="275">
        <f t="shared" si="78"/>
        <v>28619.56134663316</v>
      </c>
      <c r="P238" s="275">
        <f t="shared" si="78"/>
        <v>28964.171750703463</v>
      </c>
      <c r="Q238" s="275">
        <f t="shared" si="78"/>
        <v>29310.355754141136</v>
      </c>
      <c r="R238" s="275">
        <f t="shared" si="78"/>
        <v>29658.129092939853</v>
      </c>
      <c r="S238" s="275">
        <f t="shared" si="78"/>
        <v>30007.507660453208</v>
      </c>
      <c r="T238" s="275">
        <f t="shared" si="78"/>
        <v>30358.507508968352</v>
      </c>
      <c r="U238" s="275">
        <f t="shared" si="78"/>
        <v>30711.144851295325</v>
      </c>
      <c r="V238" s="275">
        <f t="shared" si="78"/>
        <v>31065.436062372217</v>
      </c>
      <c r="W238" s="275">
        <f t="shared" si="78"/>
        <v>31421.397680886548</v>
      </c>
      <c r="X238" s="275">
        <f t="shared" si="78"/>
        <v>31779.046410912677</v>
      </c>
      <c r="Y238" s="275">
        <f t="shared" si="78"/>
        <v>32138.39912356573</v>
      </c>
      <c r="Z238" s="275">
        <f t="shared" si="78"/>
        <v>32499.472858671983</v>
      </c>
      <c r="AA238" s="275">
        <f t="shared" si="78"/>
        <v>32862.284826455943</v>
      </c>
      <c r="AB238" s="275">
        <f t="shared" si="78"/>
        <v>33226.852409244428</v>
      </c>
      <c r="AC238" s="288">
        <f t="shared" si="78"/>
        <v>33593.193163187439</v>
      </c>
      <c r="AD238" s="369">
        <f t="shared" si="70"/>
        <v>677432.99807298311</v>
      </c>
    </row>
    <row r="239" spans="1:30" s="112" customFormat="1" ht="12">
      <c r="A239" s="58"/>
      <c r="B239" s="58"/>
      <c r="C239" s="78" t="s">
        <v>560</v>
      </c>
      <c r="D239" s="229">
        <f>'Mode Operating Assumptions'!$D$187</f>
        <v>8.1339537419145546E-7</v>
      </c>
      <c r="E239" s="236"/>
      <c r="F239" s="55">
        <f>$D239*F$32</f>
        <v>0</v>
      </c>
      <c r="G239" s="55">
        <f t="shared" ref="G239:AC239" si="79">$D239*G$32</f>
        <v>-0.21954964591332218</v>
      </c>
      <c r="H239" s="55">
        <f t="shared" si="79"/>
        <v>-0.42192161191410177</v>
      </c>
      <c r="I239" s="55">
        <f t="shared" si="79"/>
        <v>-0.4227458352647504</v>
      </c>
      <c r="J239" s="55">
        <f t="shared" si="79"/>
        <v>-0.42359223312963629</v>
      </c>
      <c r="K239" s="55">
        <f t="shared" si="79"/>
        <v>-0.42446102725390183</v>
      </c>
      <c r="L239" s="55">
        <f t="shared" si="79"/>
        <v>-0.42535244160014063</v>
      </c>
      <c r="M239" s="55">
        <f t="shared" si="79"/>
        <v>-0.42626670237057274</v>
      </c>
      <c r="N239" s="55">
        <f t="shared" si="79"/>
        <v>-0.42720403802944007</v>
      </c>
      <c r="O239" s="55">
        <f t="shared" si="79"/>
        <v>-0.43238690428357862</v>
      </c>
      <c r="P239" s="55">
        <f t="shared" si="79"/>
        <v>-0.43759330923140993</v>
      </c>
      <c r="Q239" s="55">
        <f t="shared" si="79"/>
        <v>-0.44282348825987083</v>
      </c>
      <c r="R239" s="55">
        <f t="shared" si="79"/>
        <v>-0.4480776791097677</v>
      </c>
      <c r="S239" s="55">
        <f t="shared" si="79"/>
        <v>-0.45335612189931462</v>
      </c>
      <c r="T239" s="55">
        <f t="shared" si="79"/>
        <v>-0.45865905914790817</v>
      </c>
      <c r="U239" s="55">
        <f t="shared" si="79"/>
        <v>-0.46398673580013905</v>
      </c>
      <c r="V239" s="55">
        <f t="shared" si="79"/>
        <v>-0.46933939925004337</v>
      </c>
      <c r="W239" s="55">
        <f t="shared" si="79"/>
        <v>-0.47471729936559809</v>
      </c>
      <c r="X239" s="55">
        <f t="shared" si="79"/>
        <v>-0.48012068851345946</v>
      </c>
      <c r="Y239" s="55">
        <f t="shared" si="79"/>
        <v>-0.48554982158395077</v>
      </c>
      <c r="Z239" s="55">
        <f t="shared" si="79"/>
        <v>-0.49100495601629829</v>
      </c>
      <c r="AA239" s="55">
        <f t="shared" si="79"/>
        <v>-0.49648635182412032</v>
      </c>
      <c r="AB239" s="55">
        <f t="shared" si="79"/>
        <v>-0.50199427162117205</v>
      </c>
      <c r="AC239" s="290">
        <f t="shared" si="79"/>
        <v>-0.50752898064734542</v>
      </c>
      <c r="AD239" s="376">
        <f t="shared" si="70"/>
        <v>-10.234718602029842</v>
      </c>
    </row>
    <row r="240" spans="1:30" s="112" customFormat="1" ht="12">
      <c r="A240" s="58"/>
      <c r="B240" s="58"/>
      <c r="C240" s="49" t="s">
        <v>41</v>
      </c>
      <c r="D240" s="328">
        <f>D228</f>
        <v>-291400</v>
      </c>
      <c r="E240" s="236"/>
      <c r="F240" s="275">
        <f>F239*$D$240</f>
        <v>0</v>
      </c>
      <c r="G240" s="275">
        <f t="shared" ref="G240:AC240" si="80">G239*$D$240</f>
        <v>63976.766819142082</v>
      </c>
      <c r="H240" s="275">
        <f t="shared" si="80"/>
        <v>122947.95771176925</v>
      </c>
      <c r="I240" s="275">
        <f t="shared" si="80"/>
        <v>123188.13639614827</v>
      </c>
      <c r="J240" s="275">
        <f t="shared" si="80"/>
        <v>123434.77673397602</v>
      </c>
      <c r="K240" s="275">
        <f t="shared" si="80"/>
        <v>123687.94334178699</v>
      </c>
      <c r="L240" s="275">
        <f t="shared" si="80"/>
        <v>123947.70148228097</v>
      </c>
      <c r="M240" s="275">
        <f t="shared" si="80"/>
        <v>124214.11707078489</v>
      </c>
      <c r="N240" s="275">
        <f t="shared" si="80"/>
        <v>124487.25668177883</v>
      </c>
      <c r="O240" s="275">
        <f t="shared" si="80"/>
        <v>125997.54390823482</v>
      </c>
      <c r="P240" s="275">
        <f t="shared" si="80"/>
        <v>127514.69031003285</v>
      </c>
      <c r="Q240" s="275">
        <f t="shared" si="80"/>
        <v>129038.76447892636</v>
      </c>
      <c r="R240" s="275">
        <f t="shared" si="80"/>
        <v>130569.8356925863</v>
      </c>
      <c r="S240" s="275">
        <f t="shared" si="80"/>
        <v>132107.97392146027</v>
      </c>
      <c r="T240" s="275">
        <f t="shared" si="80"/>
        <v>133653.24983570044</v>
      </c>
      <c r="U240" s="275">
        <f t="shared" si="80"/>
        <v>135205.73481216052</v>
      </c>
      <c r="V240" s="275">
        <f t="shared" si="80"/>
        <v>136765.50094146264</v>
      </c>
      <c r="W240" s="275">
        <f t="shared" si="80"/>
        <v>138332.62103513529</v>
      </c>
      <c r="X240" s="275">
        <f t="shared" si="80"/>
        <v>139907.16863282208</v>
      </c>
      <c r="Y240" s="275">
        <f t="shared" si="80"/>
        <v>141489.21800956325</v>
      </c>
      <c r="Z240" s="275">
        <f t="shared" si="80"/>
        <v>143078.84418314931</v>
      </c>
      <c r="AA240" s="275">
        <f t="shared" si="80"/>
        <v>144676.12292154867</v>
      </c>
      <c r="AB240" s="275">
        <f t="shared" si="80"/>
        <v>146281.13075040953</v>
      </c>
      <c r="AC240" s="288">
        <f t="shared" si="80"/>
        <v>147893.94496063647</v>
      </c>
      <c r="AD240" s="369">
        <f t="shared" si="70"/>
        <v>2982397.0006314958</v>
      </c>
    </row>
    <row r="241" spans="1:50" s="112" customFormat="1" ht="12">
      <c r="A241" s="58"/>
      <c r="B241" s="58"/>
      <c r="C241" s="78" t="s">
        <v>572</v>
      </c>
      <c r="D241" s="229">
        <f>'Mode Operating Assumptions'!$D$185</f>
        <v>1.8640215942009768E-6</v>
      </c>
      <c r="E241" s="236"/>
      <c r="F241" s="55">
        <f>$D241*F$32</f>
        <v>0</v>
      </c>
      <c r="G241" s="55">
        <f t="shared" ref="G241:AC241" si="81">$D241*G$32</f>
        <v>-0.50313204865274219</v>
      </c>
      <c r="H241" s="55">
        <f t="shared" si="81"/>
        <v>-0.96689878086625525</v>
      </c>
      <c r="I241" s="55">
        <f t="shared" si="81"/>
        <v>-0.96878761644708333</v>
      </c>
      <c r="J241" s="55">
        <f t="shared" si="81"/>
        <v>-0.97072726836482526</v>
      </c>
      <c r="K241" s="55">
        <f t="shared" si="81"/>
        <v>-0.97271824478285041</v>
      </c>
      <c r="L241" s="55">
        <f t="shared" si="81"/>
        <v>-0.97476105894616105</v>
      </c>
      <c r="M241" s="55">
        <f t="shared" si="81"/>
        <v>-0.97685622923221072</v>
      </c>
      <c r="N241" s="55">
        <f t="shared" si="81"/>
        <v>-0.9790042792022271</v>
      </c>
      <c r="O241" s="55">
        <f t="shared" si="81"/>
        <v>-0.99088162068228303</v>
      </c>
      <c r="P241" s="55">
        <f t="shared" si="81"/>
        <v>-1.002812904727953</v>
      </c>
      <c r="Q241" s="55">
        <f t="shared" si="81"/>
        <v>-1.0147986707648933</v>
      </c>
      <c r="R241" s="55">
        <f t="shared" si="81"/>
        <v>-1.0268394636130165</v>
      </c>
      <c r="S241" s="55">
        <f t="shared" si="81"/>
        <v>-1.0389358335404337</v>
      </c>
      <c r="T241" s="55">
        <f t="shared" si="81"/>
        <v>-1.0510883363179384</v>
      </c>
      <c r="U241" s="55">
        <f t="shared" si="81"/>
        <v>-1.0632975332740318</v>
      </c>
      <c r="V241" s="55">
        <f t="shared" si="81"/>
        <v>-1.0755639913504991</v>
      </c>
      <c r="W241" s="55">
        <f t="shared" si="81"/>
        <v>-1.0878882831585448</v>
      </c>
      <c r="X241" s="55">
        <f t="shared" si="81"/>
        <v>-1.1002709870354836</v>
      </c>
      <c r="Y241" s="55">
        <f t="shared" si="81"/>
        <v>-1.1127126871020057</v>
      </c>
      <c r="Z241" s="55">
        <f t="shared" si="81"/>
        <v>-1.1252139733200062</v>
      </c>
      <c r="AA241" s="55">
        <f t="shared" si="81"/>
        <v>-1.1377754415509997</v>
      </c>
      <c r="AB241" s="55">
        <f t="shared" si="81"/>
        <v>-1.150397693615117</v>
      </c>
      <c r="AC241" s="290">
        <f t="shared" si="81"/>
        <v>-1.1630813373506883</v>
      </c>
      <c r="AD241" s="376">
        <f t="shared" si="70"/>
        <v>-23.454444283898248</v>
      </c>
    </row>
    <row r="242" spans="1:50" s="112" customFormat="1" ht="12">
      <c r="A242" s="58"/>
      <c r="B242" s="58"/>
      <c r="C242" s="49" t="s">
        <v>547</v>
      </c>
      <c r="D242" s="328">
        <f>-'Mode Operating Assumptions'!C174</f>
        <v>-3285</v>
      </c>
      <c r="E242" s="236"/>
      <c r="F242" s="275">
        <f>F241*$D$242</f>
        <v>0</v>
      </c>
      <c r="G242" s="275">
        <f t="shared" ref="G242:AC242" si="82">G241*$D$242</f>
        <v>1652.7887798242582</v>
      </c>
      <c r="H242" s="275">
        <f t="shared" si="82"/>
        <v>3176.2624951456487</v>
      </c>
      <c r="I242" s="275">
        <f t="shared" si="82"/>
        <v>3182.4673200286688</v>
      </c>
      <c r="J242" s="275">
        <f t="shared" si="82"/>
        <v>3188.8390765784511</v>
      </c>
      <c r="K242" s="275">
        <f t="shared" si="82"/>
        <v>3195.3794341116636</v>
      </c>
      <c r="L242" s="275">
        <f t="shared" si="82"/>
        <v>3202.0900786381389</v>
      </c>
      <c r="M242" s="275">
        <f t="shared" si="82"/>
        <v>3208.972713027812</v>
      </c>
      <c r="N242" s="275">
        <f t="shared" si="82"/>
        <v>3216.0290571793162</v>
      </c>
      <c r="O242" s="275">
        <f t="shared" si="82"/>
        <v>3255.0461239412998</v>
      </c>
      <c r="P242" s="275">
        <f t="shared" si="82"/>
        <v>3294.2403920313259</v>
      </c>
      <c r="Q242" s="275">
        <f t="shared" si="82"/>
        <v>3333.6136334626744</v>
      </c>
      <c r="R242" s="275">
        <f t="shared" si="82"/>
        <v>3373.1676379687592</v>
      </c>
      <c r="S242" s="275">
        <f t="shared" si="82"/>
        <v>3412.9042131803249</v>
      </c>
      <c r="T242" s="275">
        <f t="shared" si="82"/>
        <v>3452.8251848044279</v>
      </c>
      <c r="U242" s="275">
        <f t="shared" si="82"/>
        <v>3492.9323968051945</v>
      </c>
      <c r="V242" s="275">
        <f t="shared" si="82"/>
        <v>3533.2277115863894</v>
      </c>
      <c r="W242" s="275">
        <f t="shared" si="82"/>
        <v>3573.7130101758198</v>
      </c>
      <c r="X242" s="275">
        <f t="shared" si="82"/>
        <v>3614.3901924115639</v>
      </c>
      <c r="Y242" s="275">
        <f t="shared" si="82"/>
        <v>3655.2611771300885</v>
      </c>
      <c r="Z242" s="275">
        <f t="shared" si="82"/>
        <v>3696.3279023562204</v>
      </c>
      <c r="AA242" s="275">
        <f t="shared" si="82"/>
        <v>3737.5923254950339</v>
      </c>
      <c r="AB242" s="275">
        <f t="shared" si="82"/>
        <v>3779.0564235256593</v>
      </c>
      <c r="AC242" s="288">
        <f t="shared" si="82"/>
        <v>3820.7221931970112</v>
      </c>
      <c r="AD242" s="369">
        <f t="shared" si="70"/>
        <v>77047.849472605754</v>
      </c>
    </row>
    <row r="243" spans="1:50" s="112" customFormat="1" ht="12">
      <c r="A243" s="58"/>
      <c r="B243" s="58"/>
      <c r="D243" s="328"/>
      <c r="E243" s="236"/>
      <c r="F243" s="275"/>
      <c r="G243" s="275"/>
      <c r="H243" s="275"/>
      <c r="I243" s="275"/>
      <c r="J243" s="275"/>
      <c r="K243" s="275"/>
      <c r="L243" s="275"/>
      <c r="M243" s="275"/>
      <c r="N243" s="275"/>
      <c r="O243" s="275"/>
      <c r="P243" s="275"/>
      <c r="Q243" s="275"/>
      <c r="R243" s="275"/>
      <c r="S243" s="275"/>
      <c r="T243" s="275"/>
      <c r="U243" s="275"/>
      <c r="V243" s="275"/>
      <c r="W243" s="275"/>
      <c r="X243" s="275"/>
      <c r="Y243" s="275"/>
      <c r="Z243" s="275"/>
      <c r="AA243" s="275"/>
      <c r="AB243" s="275"/>
      <c r="AC243" s="288"/>
      <c r="AD243" s="369">
        <f t="shared" si="70"/>
        <v>0</v>
      </c>
    </row>
    <row r="244" spans="1:50" s="5" customFormat="1" ht="12">
      <c r="A244" s="58"/>
      <c r="B244" s="58"/>
      <c r="C244" s="315" t="s">
        <v>537</v>
      </c>
      <c r="D244" s="231"/>
      <c r="E244" s="239"/>
      <c r="F244" s="309">
        <f>F232+F234+F213+F215++F219+F221+F226+F228+F238+F240+F242</f>
        <v>0</v>
      </c>
      <c r="G244" s="309">
        <f t="shared" ref="G244:AC244" si="83">G232+G234+G213+G215++G219+G221+G226+G228+G238+G240+G242</f>
        <v>-184632.02318227882</v>
      </c>
      <c r="H244" s="309">
        <f t="shared" si="83"/>
        <v>799092.28172704531</v>
      </c>
      <c r="I244" s="309">
        <f t="shared" si="83"/>
        <v>790367.92750474054</v>
      </c>
      <c r="J244" s="309">
        <f t="shared" si="83"/>
        <v>781624.92544809449</v>
      </c>
      <c r="K244" s="309">
        <f t="shared" si="83"/>
        <v>772863.08907876327</v>
      </c>
      <c r="L244" s="309">
        <f t="shared" si="83"/>
        <v>764082.23005362076</v>
      </c>
      <c r="M244" s="309">
        <f t="shared" si="83"/>
        <v>755282.15814610827</v>
      </c>
      <c r="N244" s="309">
        <f t="shared" si="83"/>
        <v>746462.6812274023</v>
      </c>
      <c r="O244" s="309">
        <f t="shared" si="83"/>
        <v>758411.76731670788</v>
      </c>
      <c r="P244" s="309">
        <f t="shared" si="83"/>
        <v>770341.05835409474</v>
      </c>
      <c r="Q244" s="309">
        <f t="shared" si="83"/>
        <v>782250.35638904467</v>
      </c>
      <c r="R244" s="309">
        <f t="shared" si="83"/>
        <v>794139.46149153216</v>
      </c>
      <c r="S244" s="309">
        <f t="shared" si="83"/>
        <v>806008.17173223314</v>
      </c>
      <c r="T244" s="309">
        <f t="shared" si="83"/>
        <v>817856.28316252888</v>
      </c>
      <c r="U244" s="309">
        <f t="shared" si="83"/>
        <v>829683.58979431703</v>
      </c>
      <c r="V244" s="309">
        <f t="shared" si="83"/>
        <v>841489.88357961073</v>
      </c>
      <c r="W244" s="309">
        <f t="shared" si="83"/>
        <v>853274.95438994677</v>
      </c>
      <c r="X244" s="309">
        <f t="shared" si="83"/>
        <v>865038.58999557374</v>
      </c>
      <c r="Y244" s="309">
        <f t="shared" si="83"/>
        <v>876780.57604444586</v>
      </c>
      <c r="Z244" s="309">
        <f t="shared" si="83"/>
        <v>888500.69604099472</v>
      </c>
      <c r="AA244" s="309">
        <f t="shared" si="83"/>
        <v>900198.73132469808</v>
      </c>
      <c r="AB244" s="309">
        <f t="shared" si="83"/>
        <v>911874.46104842715</v>
      </c>
      <c r="AC244" s="309">
        <f t="shared" si="83"/>
        <v>923527.66215658118</v>
      </c>
      <c r="AD244" s="378">
        <f t="shared" si="70"/>
        <v>17844519.512824234</v>
      </c>
    </row>
    <row r="245" spans="1:50" s="112" customFormat="1" ht="12">
      <c r="A245" s="109"/>
      <c r="B245" s="58"/>
      <c r="C245" s="110"/>
      <c r="D245" s="227"/>
      <c r="E245" s="235"/>
      <c r="F245" s="111"/>
      <c r="G245" s="111"/>
      <c r="H245" s="111"/>
      <c r="I245" s="111"/>
      <c r="J245" s="111"/>
      <c r="K245" s="111"/>
      <c r="L245" s="111"/>
      <c r="M245" s="111"/>
      <c r="N245" s="111"/>
      <c r="O245" s="111"/>
      <c r="P245" s="111"/>
      <c r="Q245" s="111"/>
      <c r="R245" s="111"/>
      <c r="S245" s="111"/>
      <c r="T245" s="111"/>
      <c r="U245" s="111"/>
      <c r="V245" s="111"/>
      <c r="W245" s="111"/>
      <c r="X245" s="111"/>
      <c r="Y245" s="111"/>
      <c r="Z245" s="111"/>
      <c r="AC245" s="282"/>
      <c r="AD245" s="360">
        <f t="shared" si="70"/>
        <v>0</v>
      </c>
    </row>
    <row r="246" spans="1:50" s="94" customFormat="1" ht="12">
      <c r="A246" s="94" t="s">
        <v>363</v>
      </c>
      <c r="B246" s="58"/>
      <c r="D246" s="230"/>
      <c r="E246" s="241"/>
      <c r="H246" s="93"/>
      <c r="I246" s="93"/>
      <c r="J246" s="93"/>
      <c r="K246" s="93"/>
      <c r="L246" s="93"/>
      <c r="M246" s="93"/>
      <c r="N246" s="93"/>
      <c r="O246" s="93"/>
      <c r="P246" s="93"/>
      <c r="Q246" s="93"/>
      <c r="R246" s="93"/>
      <c r="S246" s="93"/>
      <c r="T246" s="93"/>
      <c r="U246" s="93"/>
      <c r="V246" s="93"/>
      <c r="W246" s="93"/>
      <c r="X246" s="93"/>
      <c r="Y246" s="93"/>
      <c r="AC246" s="293"/>
      <c r="AD246" s="384">
        <f t="shared" si="70"/>
        <v>0</v>
      </c>
    </row>
    <row r="247" spans="1:50" s="94" customFormat="1" ht="12">
      <c r="B247" s="58"/>
      <c r="D247" s="230"/>
      <c r="E247" s="241"/>
      <c r="H247" s="108"/>
      <c r="I247" s="108"/>
      <c r="J247" s="108"/>
      <c r="K247" s="108"/>
      <c r="L247" s="108"/>
      <c r="M247" s="108"/>
      <c r="N247" s="108"/>
      <c r="O247" s="108"/>
      <c r="P247" s="108"/>
      <c r="Q247" s="108"/>
      <c r="R247" s="108"/>
      <c r="S247" s="108"/>
      <c r="T247" s="108"/>
      <c r="U247" s="108"/>
      <c r="V247" s="108"/>
      <c r="W247" s="108"/>
      <c r="X247" s="108"/>
      <c r="Y247" s="108"/>
      <c r="AC247" s="293"/>
      <c r="AD247" s="384">
        <f t="shared" si="70"/>
        <v>0</v>
      </c>
    </row>
    <row r="248" spans="1:50" s="112" customFormat="1" ht="12">
      <c r="A248" s="92"/>
      <c r="B248" s="58"/>
      <c r="C248" s="311" t="s">
        <v>519</v>
      </c>
      <c r="D248" s="230"/>
      <c r="E248" s="310">
        <f>SUM(F248:AC248)</f>
        <v>35071885.264904335</v>
      </c>
      <c r="F248" s="275">
        <f t="shared" ref="F248:AC248" si="84">F5+F6+F54+F66+F73+F93+F100+F127+F140+F170+F183+F244+F186+F201+F206</f>
        <v>-1420667.9086588875</v>
      </c>
      <c r="G248" s="275">
        <f t="shared" si="84"/>
        <v>-5359342.3288647057</v>
      </c>
      <c r="H248" s="275">
        <f t="shared" si="84"/>
        <v>1817213.7673159579</v>
      </c>
      <c r="I248" s="275">
        <f t="shared" si="84"/>
        <v>1811330.0300754795</v>
      </c>
      <c r="J248" s="275">
        <f t="shared" si="84"/>
        <v>1805692.7263255222</v>
      </c>
      <c r="K248" s="275">
        <f t="shared" si="84"/>
        <v>1800090.6839325568</v>
      </c>
      <c r="L248" s="275">
        <f t="shared" si="84"/>
        <v>1794562.717609725</v>
      </c>
      <c r="M248" s="275">
        <f t="shared" si="84"/>
        <v>1789146.2576769365</v>
      </c>
      <c r="N248" s="275">
        <f t="shared" si="84"/>
        <v>1783837.3698479759</v>
      </c>
      <c r="O248" s="275">
        <f t="shared" si="84"/>
        <v>1802728.5479217309</v>
      </c>
      <c r="P248" s="275">
        <f t="shared" si="84"/>
        <v>1825042.3700655147</v>
      </c>
      <c r="Q248" s="275">
        <f t="shared" si="84"/>
        <v>1847442.7464406197</v>
      </c>
      <c r="R248" s="275">
        <f t="shared" si="84"/>
        <v>1869930.768575818</v>
      </c>
      <c r="S248" s="275">
        <f t="shared" si="84"/>
        <v>1892507.5427780498</v>
      </c>
      <c r="T248" s="275">
        <f t="shared" si="84"/>
        <v>1915174.1903796101</v>
      </c>
      <c r="U248" s="275">
        <f t="shared" si="84"/>
        <v>1937931.8479904348</v>
      </c>
      <c r="V248" s="275">
        <f t="shared" si="84"/>
        <v>1960781.6677556019</v>
      </c>
      <c r="W248" s="275">
        <f t="shared" si="84"/>
        <v>1983724.8176181952</v>
      </c>
      <c r="X248" s="275">
        <f t="shared" si="84"/>
        <v>2006762.4815876379</v>
      </c>
      <c r="Y248" s="275">
        <f t="shared" si="84"/>
        <v>2024530.2032439883</v>
      </c>
      <c r="Z248" s="275">
        <f t="shared" si="84"/>
        <v>2043017.3833695329</v>
      </c>
      <c r="AA248" s="275">
        <f t="shared" si="84"/>
        <v>2061623.0510662331</v>
      </c>
      <c r="AB248" s="275">
        <f t="shared" si="84"/>
        <v>2080348.6063173199</v>
      </c>
      <c r="AC248" s="288">
        <f t="shared" si="84"/>
        <v>1998475.7245334927</v>
      </c>
      <c r="AD248" s="369">
        <f t="shared" si="70"/>
        <v>35071885.264904335</v>
      </c>
      <c r="AE248" s="112">
        <v>2036</v>
      </c>
      <c r="AF248" s="112">
        <f>AE248+1</f>
        <v>2037</v>
      </c>
      <c r="AG248" s="112">
        <f t="shared" ref="AG248:AX248" si="85">AF248+1</f>
        <v>2038</v>
      </c>
      <c r="AH248" s="112">
        <f t="shared" si="85"/>
        <v>2039</v>
      </c>
      <c r="AI248" s="112">
        <f t="shared" si="85"/>
        <v>2040</v>
      </c>
      <c r="AJ248" s="112">
        <f t="shared" si="85"/>
        <v>2041</v>
      </c>
      <c r="AK248" s="112">
        <f t="shared" si="85"/>
        <v>2042</v>
      </c>
      <c r="AL248" s="112">
        <f t="shared" si="85"/>
        <v>2043</v>
      </c>
      <c r="AM248" s="112">
        <f t="shared" si="85"/>
        <v>2044</v>
      </c>
      <c r="AN248" s="112">
        <f t="shared" si="85"/>
        <v>2045</v>
      </c>
      <c r="AO248" s="112">
        <f t="shared" si="85"/>
        <v>2046</v>
      </c>
      <c r="AP248" s="112">
        <f t="shared" si="85"/>
        <v>2047</v>
      </c>
      <c r="AQ248" s="112">
        <f t="shared" si="85"/>
        <v>2048</v>
      </c>
      <c r="AR248" s="112">
        <f t="shared" si="85"/>
        <v>2049</v>
      </c>
      <c r="AS248" s="112">
        <f t="shared" si="85"/>
        <v>2050</v>
      </c>
      <c r="AT248" s="112">
        <f t="shared" si="85"/>
        <v>2051</v>
      </c>
      <c r="AU248" s="112">
        <f t="shared" si="85"/>
        <v>2052</v>
      </c>
      <c r="AV248" s="112">
        <f t="shared" si="85"/>
        <v>2053</v>
      </c>
      <c r="AW248" s="112">
        <f t="shared" si="85"/>
        <v>2054</v>
      </c>
      <c r="AX248" s="112">
        <f t="shared" si="85"/>
        <v>2055</v>
      </c>
    </row>
    <row r="249" spans="1:50" s="94" customFormat="1" ht="12">
      <c r="A249" s="92"/>
      <c r="B249" s="58"/>
      <c r="C249" s="70" t="s">
        <v>182</v>
      </c>
      <c r="D249" s="230"/>
      <c r="E249" s="237"/>
      <c r="F249" s="108">
        <f>1/1.03</f>
        <v>0.970873786407767</v>
      </c>
      <c r="G249" s="108">
        <f>F249/1.03</f>
        <v>0.94259590913375435</v>
      </c>
      <c r="H249" s="108">
        <f t="shared" ref="H249:AC249" si="86">G249/1.03</f>
        <v>0.9151416593531595</v>
      </c>
      <c r="I249" s="108">
        <f t="shared" si="86"/>
        <v>0.88848704791568878</v>
      </c>
      <c r="J249" s="108">
        <f t="shared" si="86"/>
        <v>0.86260878438416388</v>
      </c>
      <c r="K249" s="108">
        <f t="shared" si="86"/>
        <v>0.83748425668365423</v>
      </c>
      <c r="L249" s="108">
        <f t="shared" si="86"/>
        <v>0.81309151134335356</v>
      </c>
      <c r="M249" s="108">
        <f t="shared" si="86"/>
        <v>0.7894092343139355</v>
      </c>
      <c r="N249" s="108">
        <f t="shared" si="86"/>
        <v>0.76641673234362673</v>
      </c>
      <c r="O249" s="108">
        <f t="shared" si="86"/>
        <v>0.74409391489672494</v>
      </c>
      <c r="P249" s="108">
        <f t="shared" si="86"/>
        <v>0.7224212765987621</v>
      </c>
      <c r="Q249" s="108">
        <f t="shared" si="86"/>
        <v>0.70137988019297293</v>
      </c>
      <c r="R249" s="108">
        <f t="shared" si="86"/>
        <v>0.68095133999317758</v>
      </c>
      <c r="S249" s="108">
        <f t="shared" si="86"/>
        <v>0.66111780581861901</v>
      </c>
      <c r="T249" s="108">
        <f t="shared" si="86"/>
        <v>0.64186194739671742</v>
      </c>
      <c r="U249" s="108">
        <f t="shared" si="86"/>
        <v>0.62316693922011401</v>
      </c>
      <c r="V249" s="108">
        <f t="shared" si="86"/>
        <v>0.60501644584477088</v>
      </c>
      <c r="W249" s="108">
        <f t="shared" si="86"/>
        <v>0.58739460761628237</v>
      </c>
      <c r="X249" s="108">
        <f t="shared" si="86"/>
        <v>0.57028602681192464</v>
      </c>
      <c r="Y249" s="108">
        <f t="shared" si="86"/>
        <v>0.55367575418633463</v>
      </c>
      <c r="Z249" s="108">
        <f t="shared" si="86"/>
        <v>0.53754927590906276</v>
      </c>
      <c r="AA249" s="108">
        <f t="shared" si="86"/>
        <v>0.52189250088258521</v>
      </c>
      <c r="AB249" s="108">
        <f t="shared" si="86"/>
        <v>0.50669174842969433</v>
      </c>
      <c r="AC249" s="294">
        <f t="shared" si="86"/>
        <v>0.49193373633950904</v>
      </c>
      <c r="AD249" s="385"/>
      <c r="AE249" s="94">
        <f>AC249/1.03</f>
        <v>0.47760556926165926</v>
      </c>
      <c r="AF249" s="94">
        <f>AE249/1.03</f>
        <v>0.4636947274385041</v>
      </c>
      <c r="AG249" s="94">
        <f t="shared" ref="AG249:AX249" si="87">AF249/1.03</f>
        <v>0.45018905576553797</v>
      </c>
      <c r="AH249" s="94">
        <f t="shared" si="87"/>
        <v>0.43707675317042521</v>
      </c>
      <c r="AI249" s="94">
        <f t="shared" si="87"/>
        <v>0.42434636230138367</v>
      </c>
      <c r="AJ249" s="94">
        <f t="shared" si="87"/>
        <v>0.41198675951590646</v>
      </c>
      <c r="AK249" s="94">
        <f t="shared" si="87"/>
        <v>0.39998714516107425</v>
      </c>
      <c r="AL249" s="94">
        <f t="shared" si="87"/>
        <v>0.3883370341369653</v>
      </c>
      <c r="AM249" s="94">
        <f t="shared" si="87"/>
        <v>0.37702624673491775</v>
      </c>
      <c r="AN249" s="94">
        <f t="shared" si="87"/>
        <v>0.3660448997426386</v>
      </c>
      <c r="AO249" s="94">
        <f t="shared" si="87"/>
        <v>0.35538339780838696</v>
      </c>
      <c r="AP249" s="94">
        <f t="shared" si="87"/>
        <v>0.34503242505668635</v>
      </c>
      <c r="AQ249" s="94">
        <f t="shared" si="87"/>
        <v>0.33498293694823916</v>
      </c>
      <c r="AR249" s="94">
        <f t="shared" si="87"/>
        <v>0.3252261523769312</v>
      </c>
      <c r="AS249" s="94">
        <f t="shared" si="87"/>
        <v>0.31575354599702055</v>
      </c>
      <c r="AT249" s="94">
        <f t="shared" si="87"/>
        <v>0.30655684077380635</v>
      </c>
      <c r="AU249" s="94">
        <f t="shared" si="87"/>
        <v>0.29762800075126827</v>
      </c>
      <c r="AV249" s="94">
        <f t="shared" si="87"/>
        <v>0.28895922403035756</v>
      </c>
      <c r="AW249" s="94">
        <f t="shared" si="87"/>
        <v>0.28054293595180346</v>
      </c>
      <c r="AX249" s="94">
        <f t="shared" si="87"/>
        <v>0.27237178247747906</v>
      </c>
    </row>
    <row r="250" spans="1:50" s="112" customFormat="1" ht="12">
      <c r="A250" s="109"/>
      <c r="B250" s="58"/>
      <c r="C250" s="110" t="s">
        <v>180</v>
      </c>
      <c r="D250" s="227"/>
      <c r="E250" s="235">
        <f>SUM(F250:AC250)</f>
        <v>21890517.298809893</v>
      </c>
      <c r="F250" s="111">
        <f>F248*F249</f>
        <v>-1379289.2317076577</v>
      </c>
      <c r="G250" s="111">
        <f t="shared" ref="G250:AC250" si="88">G248*G249</f>
        <v>-5051694.15483524</v>
      </c>
      <c r="H250" s="111">
        <f t="shared" si="88"/>
        <v>1663008.0224209321</v>
      </c>
      <c r="I250" s="111">
        <f t="shared" si="88"/>
        <v>1609343.2712227986</v>
      </c>
      <c r="J250" s="111">
        <f t="shared" si="88"/>
        <v>1557606.4076269853</v>
      </c>
      <c r="K250" s="111">
        <f t="shared" si="88"/>
        <v>1507547.6083964282</v>
      </c>
      <c r="L250" s="111">
        <f t="shared" si="88"/>
        <v>1459143.7122617271</v>
      </c>
      <c r="M250" s="111">
        <f t="shared" si="88"/>
        <v>1412368.5773483936</v>
      </c>
      <c r="N250" s="111">
        <f t="shared" si="88"/>
        <v>1367162.8080313352</v>
      </c>
      <c r="O250" s="111">
        <f t="shared" si="88"/>
        <v>1341399.3427191689</v>
      </c>
      <c r="P250" s="111">
        <f t="shared" si="88"/>
        <v>1318449.4388295596</v>
      </c>
      <c r="Q250" s="111">
        <f t="shared" si="88"/>
        <v>1295759.1721618988</v>
      </c>
      <c r="R250" s="111">
        <f t="shared" si="88"/>
        <v>1273331.8625561758</v>
      </c>
      <c r="S250" s="111">
        <f t="shared" si="88"/>
        <v>1251170.4341766105</v>
      </c>
      <c r="T250" s="111">
        <f t="shared" si="88"/>
        <v>1229277.435440988</v>
      </c>
      <c r="U250" s="111">
        <f t="shared" si="88"/>
        <v>1207655.0581293786</v>
      </c>
      <c r="V250" s="111">
        <f t="shared" si="88"/>
        <v>1186305.1557030766</v>
      </c>
      <c r="W250" s="111">
        <f t="shared" si="88"/>
        <v>1165229.2608635211</v>
      </c>
      <c r="X250" s="111">
        <f t="shared" si="88"/>
        <v>1144428.6023798522</v>
      </c>
      <c r="Y250" s="111">
        <f t="shared" si="88"/>
        <v>1120933.2871541285</v>
      </c>
      <c r="Z250" s="111">
        <f t="shared" si="88"/>
        <v>1098222.5150999206</v>
      </c>
      <c r="AA250" s="111">
        <f t="shared" si="88"/>
        <v>1075945.6099981421</v>
      </c>
      <c r="AB250" s="111">
        <f t="shared" si="88"/>
        <v>1054095.4726782006</v>
      </c>
      <c r="AC250" s="416">
        <f t="shared" si="88"/>
        <v>983117.63015356846</v>
      </c>
      <c r="AD250" s="386">
        <f t="shared" si="70"/>
        <v>21890517.298809893</v>
      </c>
    </row>
    <row r="251" spans="1:50" s="112" customFormat="1" ht="12">
      <c r="A251" s="92"/>
      <c r="B251" s="58"/>
      <c r="C251" s="70" t="s">
        <v>183</v>
      </c>
      <c r="D251" s="230"/>
      <c r="E251" s="237"/>
      <c r="F251" s="108">
        <f>1/1.07</f>
        <v>0.93457943925233644</v>
      </c>
      <c r="G251" s="108">
        <f>F251/1.07</f>
        <v>0.87343872827321156</v>
      </c>
      <c r="H251" s="108">
        <f t="shared" ref="H251:AC251" si="89">G251/1.07</f>
        <v>0.81629787689085187</v>
      </c>
      <c r="I251" s="108">
        <f t="shared" si="89"/>
        <v>0.76289521204752508</v>
      </c>
      <c r="J251" s="108">
        <f t="shared" si="89"/>
        <v>0.71298617948366827</v>
      </c>
      <c r="K251" s="108">
        <f t="shared" si="89"/>
        <v>0.66634222381651231</v>
      </c>
      <c r="L251" s="108">
        <f t="shared" si="89"/>
        <v>0.62274974188459087</v>
      </c>
      <c r="M251" s="108">
        <f t="shared" si="89"/>
        <v>0.58200910456503818</v>
      </c>
      <c r="N251" s="108">
        <f t="shared" si="89"/>
        <v>0.54393374258414784</v>
      </c>
      <c r="O251" s="108">
        <f t="shared" si="89"/>
        <v>0.50834929213471758</v>
      </c>
      <c r="P251" s="108">
        <f t="shared" si="89"/>
        <v>0.4750927963875865</v>
      </c>
      <c r="Q251" s="108">
        <f t="shared" si="89"/>
        <v>0.444011959240735</v>
      </c>
      <c r="R251" s="108">
        <f t="shared" si="89"/>
        <v>0.41496444788853737</v>
      </c>
      <c r="S251" s="108">
        <f t="shared" si="89"/>
        <v>0.38781724101732462</v>
      </c>
      <c r="T251" s="108">
        <f t="shared" si="89"/>
        <v>0.36244601964235945</v>
      </c>
      <c r="U251" s="108">
        <f t="shared" si="89"/>
        <v>0.33873459779659759</v>
      </c>
      <c r="V251" s="108">
        <f t="shared" si="89"/>
        <v>0.3165743904641099</v>
      </c>
      <c r="W251" s="108">
        <f t="shared" si="89"/>
        <v>0.29586391632159803</v>
      </c>
      <c r="X251" s="108">
        <f t="shared" si="89"/>
        <v>0.27650833301083927</v>
      </c>
      <c r="Y251" s="108">
        <f t="shared" si="89"/>
        <v>0.25841900281386848</v>
      </c>
      <c r="Z251" s="108">
        <f t="shared" si="89"/>
        <v>0.24151308674193314</v>
      </c>
      <c r="AA251" s="108">
        <f t="shared" si="89"/>
        <v>0.22571316517937676</v>
      </c>
      <c r="AB251" s="108">
        <f t="shared" si="89"/>
        <v>0.21094688334521192</v>
      </c>
      <c r="AC251" s="294">
        <f t="shared" si="89"/>
        <v>0.19714661994879618</v>
      </c>
      <c r="AD251" s="385"/>
      <c r="AE251" s="112">
        <f>AC251/1.03</f>
        <v>0.19140448538718075</v>
      </c>
      <c r="AF251" s="112">
        <f>AE251/1.03</f>
        <v>0.18582959746328226</v>
      </c>
      <c r="AG251" s="112">
        <f t="shared" ref="AG251:AX251" si="90">AF251/1.03</f>
        <v>0.18041708491580802</v>
      </c>
      <c r="AH251" s="112">
        <f t="shared" si="90"/>
        <v>0.17516221836486215</v>
      </c>
      <c r="AI251" s="112">
        <f t="shared" si="90"/>
        <v>0.17006040617947782</v>
      </c>
      <c r="AJ251" s="112">
        <f t="shared" si="90"/>
        <v>0.16510719046551245</v>
      </c>
      <c r="AK251" s="112">
        <f t="shared" si="90"/>
        <v>0.16029824317040042</v>
      </c>
      <c r="AL251" s="112">
        <f t="shared" si="90"/>
        <v>0.15562936230135963</v>
      </c>
      <c r="AM251" s="112">
        <f t="shared" si="90"/>
        <v>0.1510964682537472</v>
      </c>
      <c r="AN251" s="112">
        <f t="shared" si="90"/>
        <v>0.1466956002463565</v>
      </c>
      <c r="AO251" s="112">
        <f t="shared" si="90"/>
        <v>0.14242291286054029</v>
      </c>
      <c r="AP251" s="112">
        <f t="shared" si="90"/>
        <v>0.13827467268013621</v>
      </c>
      <c r="AQ251" s="112">
        <f t="shared" si="90"/>
        <v>0.13424725502925847</v>
      </c>
      <c r="AR251" s="112">
        <f t="shared" si="90"/>
        <v>0.13033714080510531</v>
      </c>
      <c r="AS251" s="112">
        <f t="shared" si="90"/>
        <v>0.12654091340301485</v>
      </c>
      <c r="AT251" s="112">
        <f t="shared" si="90"/>
        <v>0.12285525573108237</v>
      </c>
      <c r="AU251" s="112">
        <f t="shared" si="90"/>
        <v>0.11927694731173046</v>
      </c>
      <c r="AV251" s="112">
        <f t="shared" si="90"/>
        <v>0.11580286146769947</v>
      </c>
      <c r="AW251" s="112">
        <f t="shared" si="90"/>
        <v>0.11242996258999949</v>
      </c>
      <c r="AX251" s="112">
        <f t="shared" si="90"/>
        <v>0.10915530348543639</v>
      </c>
    </row>
    <row r="252" spans="1:50" s="112" customFormat="1" ht="12">
      <c r="A252" s="109"/>
      <c r="B252" s="58"/>
      <c r="C252" s="110" t="s">
        <v>181</v>
      </c>
      <c r="D252" s="227"/>
      <c r="E252" s="235">
        <f>SUM(F252:AC252)</f>
        <v>12014077.962120418</v>
      </c>
      <c r="F252" s="111">
        <f>F248*F251</f>
        <v>-1327727.0174382126</v>
      </c>
      <c r="G252" s="111">
        <f t="shared" ref="G252:AC252" si="91">G248*G251</f>
        <v>-4681057.1481043808</v>
      </c>
      <c r="H252" s="111">
        <f t="shared" si="91"/>
        <v>1483387.740116843</v>
      </c>
      <c r="I252" s="111">
        <f t="shared" si="91"/>
        <v>1381855.007382483</v>
      </c>
      <c r="J252" s="111">
        <f t="shared" si="91"/>
        <v>1287433.9582642831</v>
      </c>
      <c r="K252" s="111">
        <f t="shared" si="91"/>
        <v>1199476.4294030066</v>
      </c>
      <c r="L252" s="111">
        <f t="shared" si="91"/>
        <v>1117563.4691871661</v>
      </c>
      <c r="M252" s="111">
        <f t="shared" si="91"/>
        <v>1041299.4113664428</v>
      </c>
      <c r="N252" s="111">
        <f t="shared" si="91"/>
        <v>970289.33674287226</v>
      </c>
      <c r="O252" s="111">
        <f t="shared" si="91"/>
        <v>916415.78124705923</v>
      </c>
      <c r="P252" s="111">
        <f t="shared" si="91"/>
        <v>867064.48312025389</v>
      </c>
      <c r="Q252" s="111">
        <f t="shared" si="91"/>
        <v>820286.67343218392</v>
      </c>
      <c r="R252" s="111">
        <f t="shared" si="91"/>
        <v>775954.78897185263</v>
      </c>
      <c r="S252" s="111">
        <f t="shared" si="91"/>
        <v>733947.05384465971</v>
      </c>
      <c r="T252" s="111">
        <f t="shared" si="91"/>
        <v>694147.26222486806</v>
      </c>
      <c r="U252" s="111">
        <f t="shared" si="91"/>
        <v>656444.56508625706</v>
      </c>
      <c r="V252" s="111">
        <f t="shared" si="91"/>
        <v>620733.26130293054</v>
      </c>
      <c r="W252" s="111">
        <f t="shared" si="91"/>
        <v>586912.59344486706</v>
      </c>
      <c r="X252" s="111">
        <f t="shared" si="91"/>
        <v>554886.54853249283</v>
      </c>
      <c r="Y252" s="111">
        <f t="shared" si="91"/>
        <v>523177.07628886995</v>
      </c>
      <c r="Z252" s="111">
        <f t="shared" si="91"/>
        <v>493415.43452500325</v>
      </c>
      <c r="AA252" s="111">
        <f t="shared" si="91"/>
        <v>465335.46426292334</v>
      </c>
      <c r="AB252" s="111">
        <f t="shared" si="91"/>
        <v>438843.05477419385</v>
      </c>
      <c r="AC252" s="416">
        <f t="shared" si="91"/>
        <v>393992.73414149956</v>
      </c>
      <c r="AD252" s="386">
        <f t="shared" si="70"/>
        <v>12014077.962120418</v>
      </c>
    </row>
    <row r="253" spans="1:50" s="53" customFormat="1" ht="12">
      <c r="A253" s="109"/>
      <c r="B253" s="58"/>
      <c r="C253" s="110"/>
      <c r="D253" s="227"/>
      <c r="E253" s="235"/>
      <c r="F253" s="111"/>
      <c r="G253" s="111"/>
      <c r="AC253" s="283"/>
      <c r="AD253" s="361">
        <f t="shared" si="70"/>
        <v>0</v>
      </c>
    </row>
    <row r="254" spans="1:50" s="53" customFormat="1" ht="12">
      <c r="A254" s="45"/>
      <c r="B254" s="58"/>
      <c r="C254" s="302" t="s">
        <v>187</v>
      </c>
      <c r="D254" s="232"/>
      <c r="E254" s="323">
        <f>IRR(F248:AC248)</f>
        <v>0.25310159172644869</v>
      </c>
      <c r="F254" s="45"/>
      <c r="G254" s="57"/>
      <c r="AC254" s="283"/>
      <c r="AD254" s="361"/>
    </row>
    <row r="255" spans="1:50" s="115" customFormat="1" ht="12">
      <c r="A255" s="113"/>
      <c r="B255" s="58"/>
      <c r="C255" s="117"/>
      <c r="D255" s="119"/>
      <c r="E255" s="113"/>
      <c r="F255" s="114"/>
      <c r="G255" s="114"/>
      <c r="H255" s="114"/>
      <c r="I255" s="114"/>
      <c r="J255" s="114"/>
      <c r="K255" s="114"/>
      <c r="L255" s="114"/>
      <c r="M255" s="114"/>
      <c r="N255" s="114"/>
      <c r="O255" s="114"/>
      <c r="P255" s="114"/>
      <c r="Q255" s="114"/>
      <c r="R255" s="114"/>
      <c r="S255" s="114"/>
      <c r="T255" s="114"/>
      <c r="U255" s="114"/>
      <c r="V255" s="114"/>
      <c r="W255" s="114"/>
      <c r="X255" s="114"/>
      <c r="Y255" s="114"/>
      <c r="AC255" s="295"/>
      <c r="AD255" s="387"/>
    </row>
    <row r="256" spans="1:50" s="115" customFormat="1" ht="12">
      <c r="A256" s="113"/>
      <c r="B256" s="58"/>
      <c r="C256" s="120"/>
      <c r="D256" s="119"/>
      <c r="E256" s="113"/>
      <c r="F256" s="113"/>
      <c r="G256" s="116"/>
      <c r="AC256" s="295"/>
      <c r="AD256" s="387"/>
    </row>
    <row r="257" spans="1:29">
      <c r="A257" s="25"/>
      <c r="B257" s="25"/>
      <c r="C257" s="52"/>
      <c r="D257" s="42"/>
      <c r="E257" s="42"/>
      <c r="F257" s="42"/>
    </row>
    <row r="258" spans="1:29">
      <c r="A258" s="25"/>
      <c r="B258" s="25"/>
      <c r="C258" s="52"/>
      <c r="D258" s="42"/>
      <c r="E258" s="42"/>
      <c r="F258" s="42"/>
    </row>
    <row r="259" spans="1:29">
      <c r="A259" s="25"/>
      <c r="B259" s="25"/>
      <c r="C259" s="52"/>
      <c r="D259" s="42"/>
      <c r="E259" s="42"/>
      <c r="F259" s="42"/>
    </row>
    <row r="260" spans="1:29" ht="15.75">
      <c r="A260" s="25"/>
      <c r="B260" s="25"/>
      <c r="C260" s="425" t="s">
        <v>1</v>
      </c>
      <c r="D260" s="442">
        <f>SUM(D261:D264)</f>
        <v>23897.610240021215</v>
      </c>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row>
    <row r="261" spans="1:29" ht="15.75">
      <c r="A261" s="25"/>
      <c r="B261" s="25"/>
      <c r="C261" s="427" t="s">
        <v>199</v>
      </c>
      <c r="D261" s="440">
        <f>-SUM(F261:AC261)/1000</f>
        <v>6838.8787400000001</v>
      </c>
      <c r="F261" s="446">
        <f>F6</f>
        <v>-1146378.74</v>
      </c>
      <c r="G261" s="446">
        <f t="shared" ref="G261:AC261" si="92">G6</f>
        <v>-5692500</v>
      </c>
      <c r="H261" s="446">
        <f t="shared" si="92"/>
        <v>0</v>
      </c>
      <c r="I261" s="446">
        <f t="shared" si="92"/>
        <v>0</v>
      </c>
      <c r="J261" s="446">
        <f t="shared" si="92"/>
        <v>0</v>
      </c>
      <c r="K261" s="446">
        <f t="shared" si="92"/>
        <v>0</v>
      </c>
      <c r="L261" s="446">
        <f t="shared" si="92"/>
        <v>0</v>
      </c>
      <c r="M261" s="446">
        <f t="shared" si="92"/>
        <v>0</v>
      </c>
      <c r="N261" s="446">
        <f t="shared" si="92"/>
        <v>0</v>
      </c>
      <c r="O261" s="446">
        <f t="shared" si="92"/>
        <v>0</v>
      </c>
      <c r="P261" s="446">
        <f t="shared" si="92"/>
        <v>0</v>
      </c>
      <c r="Q261" s="446">
        <f t="shared" si="92"/>
        <v>0</v>
      </c>
      <c r="R261" s="446">
        <f t="shared" si="92"/>
        <v>0</v>
      </c>
      <c r="S261" s="446">
        <f t="shared" si="92"/>
        <v>0</v>
      </c>
      <c r="T261" s="446">
        <f t="shared" si="92"/>
        <v>0</v>
      </c>
      <c r="U261" s="446">
        <f t="shared" si="92"/>
        <v>0</v>
      </c>
      <c r="V261" s="446">
        <f t="shared" si="92"/>
        <v>0</v>
      </c>
      <c r="W261" s="446">
        <f t="shared" si="92"/>
        <v>0</v>
      </c>
      <c r="X261" s="446">
        <f t="shared" si="92"/>
        <v>0</v>
      </c>
      <c r="Y261" s="446">
        <f t="shared" si="92"/>
        <v>0</v>
      </c>
      <c r="Z261" s="446">
        <f t="shared" si="92"/>
        <v>0</v>
      </c>
      <c r="AA261" s="446">
        <f t="shared" si="92"/>
        <v>0</v>
      </c>
      <c r="AB261" s="446">
        <f t="shared" si="92"/>
        <v>0</v>
      </c>
      <c r="AC261" s="446">
        <f t="shared" si="92"/>
        <v>0</v>
      </c>
    </row>
    <row r="262" spans="1:29" ht="15.75">
      <c r="A262" s="25"/>
      <c r="B262" s="25"/>
      <c r="C262" s="427" t="s">
        <v>200</v>
      </c>
      <c r="D262" s="440">
        <f>-SUM(F262:AC262)/1000</f>
        <v>0</v>
      </c>
      <c r="E262" s="42"/>
      <c r="F262" s="446">
        <f>F5</f>
        <v>0</v>
      </c>
      <c r="G262" s="446">
        <f t="shared" ref="G262:AC262" si="93">G5</f>
        <v>0</v>
      </c>
      <c r="H262" s="446">
        <f t="shared" si="93"/>
        <v>0</v>
      </c>
      <c r="I262" s="446">
        <f t="shared" si="93"/>
        <v>0</v>
      </c>
      <c r="J262" s="446">
        <f t="shared" si="93"/>
        <v>0</v>
      </c>
      <c r="K262" s="446">
        <f t="shared" si="93"/>
        <v>0</v>
      </c>
      <c r="L262" s="446">
        <f t="shared" si="93"/>
        <v>0</v>
      </c>
      <c r="M262" s="446">
        <f t="shared" si="93"/>
        <v>0</v>
      </c>
      <c r="N262" s="446">
        <f t="shared" si="93"/>
        <v>0</v>
      </c>
      <c r="O262" s="446">
        <f t="shared" si="93"/>
        <v>0</v>
      </c>
      <c r="P262" s="446">
        <f t="shared" si="93"/>
        <v>0</v>
      </c>
      <c r="Q262" s="446">
        <f t="shared" si="93"/>
        <v>0</v>
      </c>
      <c r="R262" s="446">
        <f t="shared" si="93"/>
        <v>0</v>
      </c>
      <c r="S262" s="446">
        <f t="shared" si="93"/>
        <v>0</v>
      </c>
      <c r="T262" s="446">
        <f t="shared" si="93"/>
        <v>0</v>
      </c>
      <c r="U262" s="446">
        <f t="shared" si="93"/>
        <v>0</v>
      </c>
      <c r="V262" s="446">
        <f t="shared" si="93"/>
        <v>0</v>
      </c>
      <c r="W262" s="446">
        <f t="shared" si="93"/>
        <v>0</v>
      </c>
      <c r="X262" s="446">
        <f t="shared" si="93"/>
        <v>0</v>
      </c>
      <c r="Y262" s="446">
        <f t="shared" si="93"/>
        <v>0</v>
      </c>
      <c r="Z262" s="446">
        <f t="shared" si="93"/>
        <v>0</v>
      </c>
      <c r="AA262" s="446">
        <f t="shared" si="93"/>
        <v>0</v>
      </c>
      <c r="AB262" s="446">
        <f t="shared" si="93"/>
        <v>0</v>
      </c>
      <c r="AC262" s="446">
        <f t="shared" si="93"/>
        <v>0</v>
      </c>
    </row>
    <row r="263" spans="1:29" ht="15.75">
      <c r="A263" s="25"/>
      <c r="B263" s="25"/>
      <c r="C263" s="428" t="s">
        <v>563</v>
      </c>
      <c r="D263" s="440">
        <f>-SUM(F263:AC263)/1000</f>
        <v>549.39030900444038</v>
      </c>
      <c r="E263" s="42"/>
      <c r="F263" s="446">
        <f>F181</f>
        <v>-274289.16865888756</v>
      </c>
      <c r="G263" s="446">
        <f t="shared" ref="G263:AC263" si="94">G181</f>
        <v>-275101.14034555288</v>
      </c>
      <c r="H263" s="446">
        <f t="shared" si="94"/>
        <v>0</v>
      </c>
      <c r="I263" s="446">
        <f t="shared" si="94"/>
        <v>0</v>
      </c>
      <c r="J263" s="446">
        <f t="shared" si="94"/>
        <v>0</v>
      </c>
      <c r="K263" s="446">
        <f t="shared" si="94"/>
        <v>0</v>
      </c>
      <c r="L263" s="446">
        <f t="shared" si="94"/>
        <v>0</v>
      </c>
      <c r="M263" s="446">
        <f t="shared" si="94"/>
        <v>0</v>
      </c>
      <c r="N263" s="446">
        <f t="shared" si="94"/>
        <v>0</v>
      </c>
      <c r="O263" s="446">
        <f t="shared" si="94"/>
        <v>0</v>
      </c>
      <c r="P263" s="446">
        <f t="shared" si="94"/>
        <v>0</v>
      </c>
      <c r="Q263" s="446">
        <f t="shared" si="94"/>
        <v>0</v>
      </c>
      <c r="R263" s="446">
        <f t="shared" si="94"/>
        <v>0</v>
      </c>
      <c r="S263" s="446">
        <f t="shared" si="94"/>
        <v>0</v>
      </c>
      <c r="T263" s="446">
        <f t="shared" si="94"/>
        <v>0</v>
      </c>
      <c r="U263" s="446">
        <f t="shared" si="94"/>
        <v>0</v>
      </c>
      <c r="V263" s="446">
        <f t="shared" si="94"/>
        <v>0</v>
      </c>
      <c r="W263" s="446">
        <f t="shared" si="94"/>
        <v>0</v>
      </c>
      <c r="X263" s="446">
        <f t="shared" si="94"/>
        <v>0</v>
      </c>
      <c r="Y263" s="446">
        <f t="shared" si="94"/>
        <v>0</v>
      </c>
      <c r="Z263" s="446">
        <f t="shared" si="94"/>
        <v>0</v>
      </c>
      <c r="AA263" s="446">
        <f t="shared" si="94"/>
        <v>0</v>
      </c>
      <c r="AB263" s="446">
        <f t="shared" si="94"/>
        <v>0</v>
      </c>
      <c r="AC263" s="446">
        <f t="shared" si="94"/>
        <v>0</v>
      </c>
    </row>
    <row r="264" spans="1:29" ht="15.75">
      <c r="A264" s="25"/>
      <c r="B264" s="25"/>
      <c r="C264" s="427" t="s">
        <v>201</v>
      </c>
      <c r="D264" s="440">
        <f>-SUM(F264:AC264)/1000</f>
        <v>16509.341191016774</v>
      </c>
      <c r="E264" s="43"/>
      <c r="F264" s="446">
        <f>F213+F215+F226+F228</f>
        <v>0</v>
      </c>
      <c r="G264" s="446">
        <f t="shared" ref="G264:AC264" si="95">G213+G215+G226+G228</f>
        <v>-552310.67063861177</v>
      </c>
      <c r="H264" s="446">
        <f t="shared" si="95"/>
        <v>-658427.89203310013</v>
      </c>
      <c r="I264" s="446">
        <f t="shared" si="95"/>
        <v>-663306.09484617948</v>
      </c>
      <c r="J264" s="446">
        <f t="shared" si="95"/>
        <v>-668240.0810369933</v>
      </c>
      <c r="K264" s="446">
        <f t="shared" si="95"/>
        <v>-673230.40843931888</v>
      </c>
      <c r="L264" s="446">
        <f t="shared" si="95"/>
        <v>-678277.64046527143</v>
      </c>
      <c r="M264" s="446">
        <f t="shared" si="95"/>
        <v>-683382.34616108739</v>
      </c>
      <c r="N264" s="446">
        <f t="shared" si="95"/>
        <v>-688545.1002634652</v>
      </c>
      <c r="O264" s="446">
        <f t="shared" si="95"/>
        <v>-695888.26601461228</v>
      </c>
      <c r="P264" s="446">
        <f t="shared" si="95"/>
        <v>-703290.64694529329</v>
      </c>
      <c r="Q264" s="446">
        <f t="shared" si="95"/>
        <v>-710752.83520730329</v>
      </c>
      <c r="R264" s="446">
        <f t="shared" si="95"/>
        <v>-718275.42887395574</v>
      </c>
      <c r="S264" s="446">
        <f t="shared" si="95"/>
        <v>-725859.03199929721</v>
      </c>
      <c r="T264" s="446">
        <f t="shared" si="95"/>
        <v>-733504.25467791397</v>
      </c>
      <c r="U264" s="446">
        <f t="shared" si="95"/>
        <v>-741211.71310533932</v>
      </c>
      <c r="V264" s="446">
        <f t="shared" si="95"/>
        <v>-748982.02963906131</v>
      </c>
      <c r="W264" s="446">
        <f t="shared" si="95"/>
        <v>-756815.83286014281</v>
      </c>
      <c r="X264" s="446">
        <f t="shared" si="95"/>
        <v>-764713.75763545744</v>
      </c>
      <c r="Y264" s="446">
        <f t="shared" si="95"/>
        <v>-772676.44518054742</v>
      </c>
      <c r="Z264" s="446">
        <f t="shared" si="95"/>
        <v>-780704.54312311066</v>
      </c>
      <c r="AA264" s="446">
        <f t="shared" si="95"/>
        <v>-788798.70556712174</v>
      </c>
      <c r="AB264" s="446">
        <f t="shared" si="95"/>
        <v>-796959.59315759537</v>
      </c>
      <c r="AC264" s="446">
        <f t="shared" si="95"/>
        <v>-805187.87314599589</v>
      </c>
    </row>
    <row r="265" spans="1:29" ht="15.75">
      <c r="A265" s="25"/>
      <c r="B265" s="25"/>
      <c r="C265" s="426"/>
      <c r="D265" s="441"/>
      <c r="F265" s="438">
        <f>SUM(F261:F264)</f>
        <v>-1420667.9086588875</v>
      </c>
      <c r="G265" s="438">
        <f t="shared" ref="G265:AC265" si="96">SUM(G261:G264)</f>
        <v>-6519911.8109841645</v>
      </c>
      <c r="H265" s="438">
        <f t="shared" si="96"/>
        <v>-658427.89203310013</v>
      </c>
      <c r="I265" s="438">
        <f t="shared" si="96"/>
        <v>-663306.09484617948</v>
      </c>
      <c r="J265" s="438">
        <f t="shared" si="96"/>
        <v>-668240.0810369933</v>
      </c>
      <c r="K265" s="438">
        <f t="shared" si="96"/>
        <v>-673230.40843931888</v>
      </c>
      <c r="L265" s="438">
        <f t="shared" si="96"/>
        <v>-678277.64046527143</v>
      </c>
      <c r="M265" s="438">
        <f t="shared" si="96"/>
        <v>-683382.34616108739</v>
      </c>
      <c r="N265" s="438">
        <f t="shared" si="96"/>
        <v>-688545.1002634652</v>
      </c>
      <c r="O265" s="438">
        <f t="shared" si="96"/>
        <v>-695888.26601461228</v>
      </c>
      <c r="P265" s="438">
        <f t="shared" si="96"/>
        <v>-703290.64694529329</v>
      </c>
      <c r="Q265" s="438">
        <f t="shared" si="96"/>
        <v>-710752.83520730329</v>
      </c>
      <c r="R265" s="438">
        <f t="shared" si="96"/>
        <v>-718275.42887395574</v>
      </c>
      <c r="S265" s="438">
        <f t="shared" si="96"/>
        <v>-725859.03199929721</v>
      </c>
      <c r="T265" s="438">
        <f t="shared" si="96"/>
        <v>-733504.25467791397</v>
      </c>
      <c r="U265" s="438">
        <f t="shared" si="96"/>
        <v>-741211.71310533932</v>
      </c>
      <c r="V265" s="438">
        <f t="shared" si="96"/>
        <v>-748982.02963906131</v>
      </c>
      <c r="W265" s="438">
        <f t="shared" si="96"/>
        <v>-756815.83286014281</v>
      </c>
      <c r="X265" s="438">
        <f t="shared" si="96"/>
        <v>-764713.75763545744</v>
      </c>
      <c r="Y265" s="438">
        <f t="shared" si="96"/>
        <v>-772676.44518054742</v>
      </c>
      <c r="Z265" s="438">
        <f t="shared" si="96"/>
        <v>-780704.54312311066</v>
      </c>
      <c r="AA265" s="438">
        <f t="shared" si="96"/>
        <v>-788798.70556712174</v>
      </c>
      <c r="AB265" s="438">
        <f t="shared" si="96"/>
        <v>-796959.59315759537</v>
      </c>
      <c r="AC265" s="438">
        <f t="shared" si="96"/>
        <v>-805187.87314599589</v>
      </c>
    </row>
    <row r="266" spans="1:29" ht="15.75">
      <c r="A266" s="25"/>
      <c r="B266" s="25"/>
      <c r="C266" s="425" t="s">
        <v>0</v>
      </c>
      <c r="D266" s="442">
        <f>SUM(D267:D273)</f>
        <v>59082.991467191445</v>
      </c>
      <c r="G266" s="25"/>
      <c r="H266" s="25"/>
      <c r="I266" s="25"/>
      <c r="J266" s="25"/>
      <c r="K266" s="25"/>
      <c r="L266" s="25"/>
      <c r="M266" s="25"/>
      <c r="N266" s="25"/>
      <c r="O266" s="25"/>
      <c r="P266" s="25"/>
      <c r="Q266" s="25"/>
      <c r="R266" s="25"/>
      <c r="S266" s="25"/>
      <c r="T266" s="25"/>
      <c r="U266" s="25"/>
      <c r="V266" s="25"/>
      <c r="W266" s="25"/>
      <c r="X266" s="25"/>
      <c r="Y266" s="25"/>
      <c r="Z266" s="25"/>
      <c r="AA266" s="25"/>
      <c r="AB266" s="25"/>
      <c r="AC266" s="25"/>
    </row>
    <row r="267" spans="1:29" ht="15.75">
      <c r="A267" s="25"/>
      <c r="B267" s="25"/>
      <c r="C267" s="427" t="s">
        <v>599</v>
      </c>
      <c r="D267" s="440">
        <f t="shared" ref="D267:D273" si="97">SUM(F267:AC267)/1000</f>
        <v>-6350.8013185127529</v>
      </c>
      <c r="F267" s="447">
        <f>F54+F66+F80+F93+F127</f>
        <v>0</v>
      </c>
      <c r="G267" s="447">
        <f t="shared" ref="G267:AC267" si="98">G54+G66+G80+G93+G127</f>
        <v>-60401.411515934844</v>
      </c>
      <c r="H267" s="447">
        <f t="shared" si="98"/>
        <v>-277643.29882662703</v>
      </c>
      <c r="I267" s="447">
        <f t="shared" si="98"/>
        <v>-276109.01813614526</v>
      </c>
      <c r="J267" s="447">
        <f t="shared" si="98"/>
        <v>-274582.76489707473</v>
      </c>
      <c r="K267" s="447">
        <f t="shared" si="98"/>
        <v>-273064.59717563051</v>
      </c>
      <c r="L267" s="447">
        <f t="shared" si="98"/>
        <v>-271554.57329928112</v>
      </c>
      <c r="M267" s="447">
        <f t="shared" si="98"/>
        <v>-270052.75185288739</v>
      </c>
      <c r="N267" s="447">
        <f t="shared" si="98"/>
        <v>-268559.19167464745</v>
      </c>
      <c r="O267" s="447">
        <f t="shared" si="98"/>
        <v>-271560.09429216734</v>
      </c>
      <c r="P267" s="447">
        <f t="shared" si="98"/>
        <v>-274544.440350622</v>
      </c>
      <c r="Q267" s="447">
        <f t="shared" si="98"/>
        <v>-277512.02396388573</v>
      </c>
      <c r="R267" s="447">
        <f t="shared" si="98"/>
        <v>-280462.63569954917</v>
      </c>
      <c r="S267" s="447">
        <f t="shared" si="98"/>
        <v>-283396.06250621926</v>
      </c>
      <c r="T267" s="447">
        <f t="shared" si="98"/>
        <v>-286312.08763913048</v>
      </c>
      <c r="U267" s="447">
        <f t="shared" si="98"/>
        <v>-289210.49058402068</v>
      </c>
      <c r="V267" s="447">
        <f t="shared" si="98"/>
        <v>-292091.04697922792</v>
      </c>
      <c r="W267" s="447">
        <f t="shared" si="98"/>
        <v>-294953.52853596129</v>
      </c>
      <c r="X267" s="447">
        <f t="shared" si="98"/>
        <v>-297797.70295669604</v>
      </c>
      <c r="Y267" s="447">
        <f t="shared" si="98"/>
        <v>-300623.3338516457</v>
      </c>
      <c r="Z267" s="447">
        <f t="shared" si="98"/>
        <v>-303430.18065325858</v>
      </c>
      <c r="AA267" s="447">
        <f t="shared" si="98"/>
        <v>-306217.99852868577</v>
      </c>
      <c r="AB267" s="447">
        <f t="shared" si="98"/>
        <v>-308986.53829016868</v>
      </c>
      <c r="AC267" s="447">
        <f t="shared" si="98"/>
        <v>-311735.54630328657</v>
      </c>
    </row>
    <row r="268" spans="1:29" ht="15.75">
      <c r="A268" s="25"/>
      <c r="B268" s="25"/>
      <c r="C268" s="427" t="s">
        <v>600</v>
      </c>
      <c r="D268" s="440">
        <f t="shared" si="97"/>
        <v>15718.53483533323</v>
      </c>
      <c r="F268" s="446">
        <f>F73+F100+F140</f>
        <v>0</v>
      </c>
      <c r="G268" s="446">
        <f t="shared" ref="G268:AC268" si="99">G73+G100+G140</f>
        <v>407671.65864450234</v>
      </c>
      <c r="H268" s="446">
        <f t="shared" si="99"/>
        <v>640106.32793452498</v>
      </c>
      <c r="I268" s="446">
        <f t="shared" si="99"/>
        <v>642634.44051276357</v>
      </c>
      <c r="J268" s="446">
        <f t="shared" si="99"/>
        <v>645203.7279285253</v>
      </c>
      <c r="K268" s="446">
        <f t="shared" si="99"/>
        <v>647814.60193018522</v>
      </c>
      <c r="L268" s="446">
        <f t="shared" si="99"/>
        <v>650467.47838360257</v>
      </c>
      <c r="M268" s="446">
        <f t="shared" si="99"/>
        <v>653162.77731329482</v>
      </c>
      <c r="N268" s="446">
        <f t="shared" si="99"/>
        <v>655900.92294402479</v>
      </c>
      <c r="O268" s="446">
        <f t="shared" si="99"/>
        <v>663498.98702490074</v>
      </c>
      <c r="P268" s="446">
        <f t="shared" si="99"/>
        <v>671140.75902550528</v>
      </c>
      <c r="Q268" s="446">
        <f t="shared" si="99"/>
        <v>678826.67602503556</v>
      </c>
      <c r="R268" s="446">
        <f t="shared" si="99"/>
        <v>686557.17947348091</v>
      </c>
      <c r="S268" s="446">
        <f t="shared" si="99"/>
        <v>694332.7152353304</v>
      </c>
      <c r="T268" s="446">
        <f t="shared" si="99"/>
        <v>702153.7336337181</v>
      </c>
      <c r="U268" s="446">
        <f t="shared" si="99"/>
        <v>710020.68949500949</v>
      </c>
      <c r="V268" s="446">
        <f t="shared" si="99"/>
        <v>717934.04219383339</v>
      </c>
      <c r="W268" s="446">
        <f t="shared" si="99"/>
        <v>725894.25569856528</v>
      </c>
      <c r="X268" s="446">
        <f t="shared" si="99"/>
        <v>733901.79861726437</v>
      </c>
      <c r="Y268" s="446">
        <f t="shared" si="99"/>
        <v>741957.14424407005</v>
      </c>
      <c r="Z268" s="446">
        <f t="shared" si="99"/>
        <v>750060.77060606354</v>
      </c>
      <c r="AA268" s="446">
        <f t="shared" si="99"/>
        <v>758213.16051059659</v>
      </c>
      <c r="AB268" s="446">
        <f t="shared" si="99"/>
        <v>766414.80159309483</v>
      </c>
      <c r="AC268" s="446">
        <f t="shared" si="99"/>
        <v>774666.18636533781</v>
      </c>
    </row>
    <row r="269" spans="1:29" ht="15.75">
      <c r="A269" s="25"/>
      <c r="B269" s="25"/>
      <c r="C269" s="427" t="s">
        <v>202</v>
      </c>
      <c r="D269" s="440">
        <f t="shared" si="97"/>
        <v>9284.845781695185</v>
      </c>
      <c r="F269" s="446">
        <f>F170</f>
        <v>0</v>
      </c>
      <c r="G269" s="446">
        <f t="shared" ref="G269:AC269" si="100">G170</f>
        <v>348095.19305928907</v>
      </c>
      <c r="H269" s="446">
        <f t="shared" si="100"/>
        <v>359066.12704997475</v>
      </c>
      <c r="I269" s="446">
        <f t="shared" si="100"/>
        <v>363129.45129267807</v>
      </c>
      <c r="J269" s="446">
        <f t="shared" si="100"/>
        <v>367234.46915498993</v>
      </c>
      <c r="K269" s="446">
        <f t="shared" si="100"/>
        <v>371381.69546179305</v>
      </c>
      <c r="L269" s="446">
        <f t="shared" si="100"/>
        <v>375571.65210212994</v>
      </c>
      <c r="M269" s="446">
        <f t="shared" si="100"/>
        <v>379804.86814237945</v>
      </c>
      <c r="N269" s="446">
        <f t="shared" si="100"/>
        <v>384081.87994162051</v>
      </c>
      <c r="O269" s="446">
        <f t="shared" si="100"/>
        <v>388597.12010199873</v>
      </c>
      <c r="P269" s="446">
        <f t="shared" si="100"/>
        <v>393169.71921352245</v>
      </c>
      <c r="Q269" s="446">
        <f t="shared" si="100"/>
        <v>397800.36895717791</v>
      </c>
      <c r="R269" s="446">
        <f t="shared" si="100"/>
        <v>402489.77068168018</v>
      </c>
      <c r="S269" s="446">
        <f t="shared" si="100"/>
        <v>407238.63556435169</v>
      </c>
      <c r="T269" s="446">
        <f t="shared" si="100"/>
        <v>412047.68477524293</v>
      </c>
      <c r="U269" s="446">
        <f t="shared" si="100"/>
        <v>416917.64964457479</v>
      </c>
      <c r="V269" s="446">
        <f t="shared" si="100"/>
        <v>421849.27183358208</v>
      </c>
      <c r="W269" s="446">
        <f t="shared" si="100"/>
        <v>426843.3035088412</v>
      </c>
      <c r="X269" s="446">
        <f t="shared" si="100"/>
        <v>431900.50752016861</v>
      </c>
      <c r="Y269" s="446">
        <f t="shared" si="100"/>
        <v>437021.65758217603</v>
      </c>
      <c r="Z269" s="446">
        <f t="shared" si="100"/>
        <v>442207.53845957486</v>
      </c>
      <c r="AA269" s="446">
        <f t="shared" si="100"/>
        <v>447458.94615632069</v>
      </c>
      <c r="AB269" s="446">
        <f t="shared" si="100"/>
        <v>452776.68810869544</v>
      </c>
      <c r="AC269" s="446">
        <f t="shared" si="100"/>
        <v>458161.58338242408</v>
      </c>
    </row>
    <row r="270" spans="1:29" ht="15.75">
      <c r="A270" s="25"/>
      <c r="B270" s="25"/>
      <c r="C270" s="427" t="s">
        <v>203</v>
      </c>
      <c r="D270" s="440">
        <f t="shared" si="97"/>
        <v>3270.3926723140617</v>
      </c>
      <c r="F270" s="446">
        <f>F183-F181</f>
        <v>0</v>
      </c>
      <c r="G270" s="446">
        <f t="shared" ref="G270:AC270" si="101">G183-G181</f>
        <v>14575.545000000013</v>
      </c>
      <c r="H270" s="446">
        <f t="shared" si="101"/>
        <v>150396.7607866209</v>
      </c>
      <c r="I270" s="446">
        <f t="shared" si="101"/>
        <v>150811.54920725501</v>
      </c>
      <c r="J270" s="446">
        <f t="shared" si="101"/>
        <v>151227.77557179081</v>
      </c>
      <c r="K270" s="446">
        <f t="shared" si="101"/>
        <v>151645.45425966731</v>
      </c>
      <c r="L270" s="446">
        <f t="shared" si="101"/>
        <v>152064.59979411785</v>
      </c>
      <c r="M270" s="446">
        <f t="shared" si="101"/>
        <v>152485.22684360819</v>
      </c>
      <c r="N270" s="446">
        <f t="shared" si="101"/>
        <v>152907.35022328884</v>
      </c>
      <c r="O270" s="446">
        <f t="shared" si="101"/>
        <v>153606.35447657623</v>
      </c>
      <c r="P270" s="446">
        <f t="shared" si="101"/>
        <v>154306.88513629069</v>
      </c>
      <c r="Q270" s="446">
        <f t="shared" si="101"/>
        <v>155008.95746649645</v>
      </c>
      <c r="R270" s="446">
        <f t="shared" si="101"/>
        <v>155712.58688389848</v>
      </c>
      <c r="S270" s="446">
        <f t="shared" si="101"/>
        <v>156417.78895936871</v>
      </c>
      <c r="T270" s="446">
        <f t="shared" si="101"/>
        <v>157124.57941948777</v>
      </c>
      <c r="U270" s="446">
        <f t="shared" si="101"/>
        <v>157832.97414810225</v>
      </c>
      <c r="V270" s="446">
        <f t="shared" si="101"/>
        <v>158542.98918789704</v>
      </c>
      <c r="W270" s="446">
        <f t="shared" si="101"/>
        <v>159254.64074198395</v>
      </c>
      <c r="X270" s="446">
        <f t="shared" si="101"/>
        <v>159967.94517550591</v>
      </c>
      <c r="Y270" s="446">
        <f t="shared" si="101"/>
        <v>155317.26224758348</v>
      </c>
      <c r="Z270" s="446">
        <f t="shared" si="101"/>
        <v>150379.16493714749</v>
      </c>
      <c r="AA270" s="446">
        <f t="shared" si="101"/>
        <v>145442.77059004636</v>
      </c>
      <c r="AB270" s="446">
        <f t="shared" si="101"/>
        <v>140508.09623591334</v>
      </c>
      <c r="AC270" s="446">
        <f t="shared" si="101"/>
        <v>34855.415021415043</v>
      </c>
    </row>
    <row r="271" spans="1:29" ht="15.75">
      <c r="A271" s="36"/>
      <c r="B271" s="36"/>
      <c r="C271" s="427" t="s">
        <v>204</v>
      </c>
      <c r="D271" s="440">
        <f t="shared" si="97"/>
        <v>2767.2131563571365</v>
      </c>
      <c r="F271" s="446">
        <f>F201+F186</f>
        <v>0</v>
      </c>
      <c r="G271" s="446">
        <f t="shared" ref="G271:AC271" si="102">G201+G186</f>
        <v>81460.276486193528</v>
      </c>
      <c r="H271" s="446">
        <f t="shared" si="102"/>
        <v>149614.31903866981</v>
      </c>
      <c r="I271" s="446">
        <f t="shared" si="102"/>
        <v>143865.11980003145</v>
      </c>
      <c r="J271" s="446">
        <f t="shared" si="102"/>
        <v>138304.57248976105</v>
      </c>
      <c r="K271" s="446">
        <f t="shared" si="102"/>
        <v>132720.80706172308</v>
      </c>
      <c r="L271" s="446">
        <f t="shared" si="102"/>
        <v>127151.93110200641</v>
      </c>
      <c r="M271" s="446">
        <f t="shared" si="102"/>
        <v>121634.65844786784</v>
      </c>
      <c r="N271" s="446">
        <f t="shared" si="102"/>
        <v>116164.32883106737</v>
      </c>
      <c r="O271" s="446">
        <f t="shared" si="102"/>
        <v>113348.62216604027</v>
      </c>
      <c r="P271" s="446">
        <f t="shared" si="102"/>
        <v>113856.04508420831</v>
      </c>
      <c r="Q271" s="446">
        <f t="shared" si="102"/>
        <v>114349.3541899846</v>
      </c>
      <c r="R271" s="446">
        <f t="shared" si="102"/>
        <v>114828.4716813541</v>
      </c>
      <c r="S271" s="446">
        <f t="shared" si="102"/>
        <v>115293.31850138097</v>
      </c>
      <c r="T271" s="446">
        <f t="shared" si="102"/>
        <v>115743.81432103203</v>
      </c>
      <c r="U271" s="446">
        <f t="shared" si="102"/>
        <v>116179.87752178172</v>
      </c>
      <c r="V271" s="446">
        <f t="shared" si="102"/>
        <v>116601.42517799625</v>
      </c>
      <c r="W271" s="446">
        <f t="shared" si="102"/>
        <v>117008.37303909453</v>
      </c>
      <c r="X271" s="446">
        <f t="shared" si="102"/>
        <v>117400.63551148234</v>
      </c>
      <c r="Y271" s="446">
        <f t="shared" si="102"/>
        <v>117778.12564025821</v>
      </c>
      <c r="Z271" s="446">
        <f t="shared" si="102"/>
        <v>119052.38261835917</v>
      </c>
      <c r="AA271" s="446">
        <f t="shared" si="102"/>
        <v>120332.01145415768</v>
      </c>
      <c r="AB271" s="446">
        <f t="shared" si="102"/>
        <v>121617.06990716449</v>
      </c>
      <c r="AC271" s="446">
        <f t="shared" si="102"/>
        <v>122907.61628552139</v>
      </c>
    </row>
    <row r="272" spans="1:29" ht="15.75">
      <c r="A272" s="25"/>
      <c r="B272" s="25"/>
      <c r="C272" s="427" t="s">
        <v>601</v>
      </c>
      <c r="D272" s="440">
        <f t="shared" si="97"/>
        <v>38.945636163572516</v>
      </c>
      <c r="F272" s="446">
        <f>F206</f>
        <v>0</v>
      </c>
      <c r="G272" s="446">
        <f t="shared" ref="G272:AC272" si="103">G206</f>
        <v>1489.5729890764651</v>
      </c>
      <c r="H272" s="446">
        <f t="shared" si="103"/>
        <v>1532.358525604704</v>
      </c>
      <c r="I272" s="446">
        <f t="shared" si="103"/>
        <v>1547.2090997617656</v>
      </c>
      <c r="J272" s="446">
        <f t="shared" si="103"/>
        <v>1562.2101207907244</v>
      </c>
      <c r="K272" s="446">
        <f t="shared" si="103"/>
        <v>1577.3630931602986</v>
      </c>
      <c r="L272" s="446">
        <f t="shared" si="103"/>
        <v>1592.6695363838946</v>
      </c>
      <c r="M272" s="446">
        <f t="shared" si="103"/>
        <v>1608.130985170053</v>
      </c>
      <c r="N272" s="446">
        <f t="shared" si="103"/>
        <v>1623.748989574399</v>
      </c>
      <c r="O272" s="446">
        <f t="shared" si="103"/>
        <v>1640.113381286126</v>
      </c>
      <c r="P272" s="446">
        <f t="shared" si="103"/>
        <v>1656.6374753839661</v>
      </c>
      <c r="Q272" s="446">
        <f t="shared" si="103"/>
        <v>1673.3228688917809</v>
      </c>
      <c r="R272" s="446">
        <f t="shared" si="103"/>
        <v>1690.1711748036696</v>
      </c>
      <c r="S272" s="446">
        <f t="shared" si="103"/>
        <v>1707.1840222436738</v>
      </c>
      <c r="T272" s="446">
        <f t="shared" si="103"/>
        <v>1724.3630566270735</v>
      </c>
      <c r="U272" s="446">
        <f t="shared" si="103"/>
        <v>1741.7099398233031</v>
      </c>
      <c r="V272" s="446">
        <f t="shared" si="103"/>
        <v>1759.2263503204915</v>
      </c>
      <c r="W272" s="446">
        <f t="shared" si="103"/>
        <v>1776.9139833916474</v>
      </c>
      <c r="X272" s="446">
        <f t="shared" si="103"/>
        <v>1794.7745512625108</v>
      </c>
      <c r="Y272" s="446">
        <f t="shared" si="103"/>
        <v>1812.8097832810788</v>
      </c>
      <c r="Z272" s="446">
        <f t="shared" si="103"/>
        <v>1831.0214260888288</v>
      </c>
      <c r="AA272" s="446">
        <f t="shared" si="103"/>
        <v>1849.4112437936521</v>
      </c>
      <c r="AB272" s="446">
        <f t="shared" si="103"/>
        <v>1867.9810181445196</v>
      </c>
      <c r="AC272" s="446">
        <f t="shared" si="103"/>
        <v>1886.732548707892</v>
      </c>
    </row>
    <row r="273" spans="1:29" ht="15.75">
      <c r="A273" s="25"/>
      <c r="B273" s="25"/>
      <c r="C273" s="427" t="s">
        <v>205</v>
      </c>
      <c r="D273" s="440">
        <f t="shared" si="97"/>
        <v>34353.860703841012</v>
      </c>
      <c r="F273" s="446">
        <f>F219+F221+F232+F234+F238+F240+F242</f>
        <v>0</v>
      </c>
      <c r="G273" s="446">
        <f t="shared" ref="G273:AC273" si="104">G219+G221+G232+G234+G238+G240+G242</f>
        <v>367678.64745633292</v>
      </c>
      <c r="H273" s="446">
        <f t="shared" si="104"/>
        <v>1457520.1737601454</v>
      </c>
      <c r="I273" s="446">
        <f t="shared" si="104"/>
        <v>1453674.0223509199</v>
      </c>
      <c r="J273" s="446">
        <f t="shared" si="104"/>
        <v>1449865.0064850878</v>
      </c>
      <c r="K273" s="446">
        <f t="shared" si="104"/>
        <v>1446093.4975180826</v>
      </c>
      <c r="L273" s="446">
        <f t="shared" si="104"/>
        <v>1442359.8705188923</v>
      </c>
      <c r="M273" s="446">
        <f t="shared" si="104"/>
        <v>1438664.5043071955</v>
      </c>
      <c r="N273" s="446">
        <f t="shared" si="104"/>
        <v>1435007.7814908677</v>
      </c>
      <c r="O273" s="446">
        <f t="shared" si="104"/>
        <v>1454300.0333313204</v>
      </c>
      <c r="P273" s="446">
        <f t="shared" si="104"/>
        <v>1473631.7052993882</v>
      </c>
      <c r="Q273" s="446">
        <f t="shared" si="104"/>
        <v>1493003.1915963481</v>
      </c>
      <c r="R273" s="446">
        <f t="shared" si="104"/>
        <v>1512414.8903654879</v>
      </c>
      <c r="S273" s="446">
        <f t="shared" si="104"/>
        <v>1531867.2037315301</v>
      </c>
      <c r="T273" s="446">
        <f t="shared" si="104"/>
        <v>1551360.537840443</v>
      </c>
      <c r="U273" s="446">
        <f t="shared" si="104"/>
        <v>1570895.3028996564</v>
      </c>
      <c r="V273" s="446">
        <f t="shared" si="104"/>
        <v>1590471.9132186722</v>
      </c>
      <c r="W273" s="446">
        <f t="shared" si="104"/>
        <v>1610090.7872500892</v>
      </c>
      <c r="X273" s="446">
        <f t="shared" si="104"/>
        <v>1629752.3476310309</v>
      </c>
      <c r="Y273" s="446">
        <f t="shared" si="104"/>
        <v>1649457.0212249933</v>
      </c>
      <c r="Z273" s="446">
        <f t="shared" si="104"/>
        <v>1669205.2391641054</v>
      </c>
      <c r="AA273" s="446">
        <f t="shared" si="104"/>
        <v>1688997.4368918198</v>
      </c>
      <c r="AB273" s="446">
        <f t="shared" si="104"/>
        <v>1708834.0542060225</v>
      </c>
      <c r="AC273" s="446">
        <f t="shared" si="104"/>
        <v>1728715.5353025771</v>
      </c>
    </row>
    <row r="274" spans="1:29" ht="15.75">
      <c r="A274" s="25"/>
      <c r="B274" s="25"/>
      <c r="C274" s="426"/>
      <c r="D274" s="441"/>
      <c r="F274" s="437">
        <f>SUM(F267:F273)</f>
        <v>0</v>
      </c>
      <c r="G274" s="437">
        <f t="shared" ref="G274:AC274" si="105">SUM(G267:G273)</f>
        <v>1160569.4821194597</v>
      </c>
      <c r="H274" s="437">
        <f t="shared" si="105"/>
        <v>2480592.7682689135</v>
      </c>
      <c r="I274" s="437">
        <f t="shared" si="105"/>
        <v>2479552.7741272645</v>
      </c>
      <c r="J274" s="437">
        <f t="shared" si="105"/>
        <v>2478814.9968538708</v>
      </c>
      <c r="K274" s="437">
        <f t="shared" si="105"/>
        <v>2478168.822148981</v>
      </c>
      <c r="L274" s="437">
        <f t="shared" si="105"/>
        <v>2477653.6281378521</v>
      </c>
      <c r="M274" s="437">
        <f t="shared" si="105"/>
        <v>2477307.4141866285</v>
      </c>
      <c r="N274" s="437">
        <f t="shared" si="105"/>
        <v>2477126.820745796</v>
      </c>
      <c r="O274" s="437">
        <f t="shared" si="105"/>
        <v>2503431.1361899553</v>
      </c>
      <c r="P274" s="437">
        <f t="shared" si="105"/>
        <v>2533217.3108836766</v>
      </c>
      <c r="Q274" s="437">
        <f t="shared" si="105"/>
        <v>2563149.8471400486</v>
      </c>
      <c r="R274" s="437">
        <f t="shared" si="105"/>
        <v>2593230.4345611562</v>
      </c>
      <c r="S274" s="437">
        <f t="shared" si="105"/>
        <v>2623460.783507986</v>
      </c>
      <c r="T274" s="437">
        <f t="shared" si="105"/>
        <v>2653842.6254074201</v>
      </c>
      <c r="U274" s="437">
        <f t="shared" si="105"/>
        <v>2684377.7130649271</v>
      </c>
      <c r="V274" s="437">
        <f t="shared" si="105"/>
        <v>2715067.8209830737</v>
      </c>
      <c r="W274" s="437">
        <f t="shared" si="105"/>
        <v>2745914.7456860044</v>
      </c>
      <c r="X274" s="437">
        <f t="shared" si="105"/>
        <v>2776920.3060500189</v>
      </c>
      <c r="Y274" s="437">
        <f t="shared" si="105"/>
        <v>2802720.6868707165</v>
      </c>
      <c r="Z274" s="437">
        <f t="shared" si="105"/>
        <v>2829305.9365580808</v>
      </c>
      <c r="AA274" s="437">
        <f t="shared" si="105"/>
        <v>2856075.7383180493</v>
      </c>
      <c r="AB274" s="437">
        <f t="shared" si="105"/>
        <v>2883032.1527788662</v>
      </c>
      <c r="AC274" s="437">
        <f t="shared" si="105"/>
        <v>2809457.5226026969</v>
      </c>
    </row>
    <row r="275" spans="1:29" ht="15.75">
      <c r="A275" s="25"/>
      <c r="B275" s="25"/>
      <c r="C275" s="425" t="s">
        <v>184</v>
      </c>
      <c r="D275" s="442"/>
      <c r="G275" s="25"/>
      <c r="H275" s="25"/>
      <c r="I275" s="25"/>
      <c r="J275" s="25"/>
      <c r="K275" s="25"/>
      <c r="L275" s="25"/>
      <c r="M275" s="25"/>
      <c r="N275" s="25"/>
      <c r="O275" s="25"/>
      <c r="P275" s="25"/>
      <c r="Q275" s="25"/>
      <c r="R275" s="25"/>
      <c r="S275" s="25"/>
      <c r="T275" s="25"/>
      <c r="U275" s="25"/>
      <c r="V275" s="25"/>
      <c r="W275" s="25"/>
      <c r="X275" s="25"/>
      <c r="Y275" s="25"/>
      <c r="Z275" s="25"/>
      <c r="AA275" s="25"/>
      <c r="AB275" s="25"/>
      <c r="AC275" s="25"/>
    </row>
    <row r="276" spans="1:29" ht="15.75">
      <c r="A276" s="25"/>
      <c r="B276" s="25"/>
      <c r="C276" s="425" t="s">
        <v>185</v>
      </c>
      <c r="D276" s="443">
        <f>IRR(F276:AC276)</f>
        <v>0.25376262033806674</v>
      </c>
      <c r="F276" s="439">
        <f>F265+F274</f>
        <v>-1420667.9086588875</v>
      </c>
      <c r="G276" s="439">
        <f t="shared" ref="G276:AC276" si="106">G265+G274</f>
        <v>-5359342.3288647048</v>
      </c>
      <c r="H276" s="439">
        <f t="shared" si="106"/>
        <v>1822164.8762358134</v>
      </c>
      <c r="I276" s="439">
        <f t="shared" si="106"/>
        <v>1816246.679281085</v>
      </c>
      <c r="J276" s="439">
        <f t="shared" si="106"/>
        <v>1810574.9158168775</v>
      </c>
      <c r="K276" s="439">
        <f t="shared" si="106"/>
        <v>1804938.4137096622</v>
      </c>
      <c r="L276" s="439">
        <f t="shared" si="106"/>
        <v>1799375.9876725806</v>
      </c>
      <c r="M276" s="439">
        <f t="shared" si="106"/>
        <v>1793925.068025541</v>
      </c>
      <c r="N276" s="439">
        <f t="shared" si="106"/>
        <v>1788581.7204823308</v>
      </c>
      <c r="O276" s="439">
        <f t="shared" si="106"/>
        <v>1807542.870175343</v>
      </c>
      <c r="P276" s="439">
        <f t="shared" si="106"/>
        <v>1829926.6639383833</v>
      </c>
      <c r="Q276" s="439">
        <f t="shared" si="106"/>
        <v>1852397.0119327453</v>
      </c>
      <c r="R276" s="439">
        <f t="shared" si="106"/>
        <v>1874955.0056872005</v>
      </c>
      <c r="S276" s="439">
        <f t="shared" si="106"/>
        <v>1897601.7515086888</v>
      </c>
      <c r="T276" s="439">
        <f t="shared" si="106"/>
        <v>1920338.370729506</v>
      </c>
      <c r="U276" s="439">
        <f t="shared" si="106"/>
        <v>1943165.9999595878</v>
      </c>
      <c r="V276" s="439">
        <f t="shared" si="106"/>
        <v>1966085.7913440124</v>
      </c>
      <c r="W276" s="439">
        <f t="shared" si="106"/>
        <v>1989098.9128258615</v>
      </c>
      <c r="X276" s="439">
        <f t="shared" si="106"/>
        <v>2012206.5484145614</v>
      </c>
      <c r="Y276" s="439">
        <f t="shared" si="106"/>
        <v>2030044.2416901691</v>
      </c>
      <c r="Z276" s="439">
        <f t="shared" si="106"/>
        <v>2048601.3934349702</v>
      </c>
      <c r="AA276" s="439">
        <f t="shared" si="106"/>
        <v>2067277.0327509276</v>
      </c>
      <c r="AB276" s="439">
        <f t="shared" si="106"/>
        <v>2086072.5596212707</v>
      </c>
      <c r="AC276" s="439">
        <f t="shared" si="106"/>
        <v>2004269.649456701</v>
      </c>
    </row>
    <row r="277" spans="1:29" ht="15.75">
      <c r="A277" s="25"/>
      <c r="B277" s="25"/>
      <c r="C277" s="425" t="s">
        <v>186</v>
      </c>
      <c r="D277" s="444">
        <f>SUM(D267:D273)/SUM(D261:D264)</f>
        <v>2.4723389022491227</v>
      </c>
      <c r="F277" s="431">
        <f t="shared" ref="F277:AC277" si="107">F276-F248</f>
        <v>0</v>
      </c>
      <c r="G277" s="431">
        <f t="shared" si="107"/>
        <v>0</v>
      </c>
      <c r="H277" s="431">
        <f t="shared" si="107"/>
        <v>4951.10891985544</v>
      </c>
      <c r="I277" s="431">
        <f t="shared" si="107"/>
        <v>4916.6492056054994</v>
      </c>
      <c r="J277" s="431">
        <f t="shared" si="107"/>
        <v>4882.189491355326</v>
      </c>
      <c r="K277" s="431">
        <f t="shared" si="107"/>
        <v>4847.7297771053854</v>
      </c>
      <c r="L277" s="431">
        <f t="shared" si="107"/>
        <v>4813.2700628556777</v>
      </c>
      <c r="M277" s="431">
        <f t="shared" si="107"/>
        <v>4778.8103486045729</v>
      </c>
      <c r="N277" s="431">
        <f t="shared" si="107"/>
        <v>4744.3506343548652</v>
      </c>
      <c r="O277" s="431">
        <f t="shared" si="107"/>
        <v>4814.3222536121029</v>
      </c>
      <c r="P277" s="431">
        <f t="shared" si="107"/>
        <v>4884.2938728686422</v>
      </c>
      <c r="Q277" s="431">
        <f t="shared" si="107"/>
        <v>4954.2654921256471</v>
      </c>
      <c r="R277" s="431">
        <f t="shared" si="107"/>
        <v>5024.2371113824192</v>
      </c>
      <c r="S277" s="431">
        <f t="shared" si="107"/>
        <v>5094.2087306389585</v>
      </c>
      <c r="T277" s="431">
        <f t="shared" si="107"/>
        <v>5164.1803498959634</v>
      </c>
      <c r="U277" s="431">
        <f t="shared" si="107"/>
        <v>5234.1519691529684</v>
      </c>
      <c r="V277" s="431">
        <f t="shared" si="107"/>
        <v>5304.123588410439</v>
      </c>
      <c r="W277" s="431">
        <f t="shared" si="107"/>
        <v>5374.0952076662797</v>
      </c>
      <c r="X277" s="431">
        <f t="shared" si="107"/>
        <v>5444.0668269235175</v>
      </c>
      <c r="Y277" s="431">
        <f t="shared" si="107"/>
        <v>5514.0384461807553</v>
      </c>
      <c r="Z277" s="431">
        <f t="shared" si="107"/>
        <v>5584.0100654372945</v>
      </c>
      <c r="AA277" s="431">
        <f t="shared" si="107"/>
        <v>5653.9816846945323</v>
      </c>
      <c r="AB277" s="431">
        <f t="shared" si="107"/>
        <v>5723.9533039508387</v>
      </c>
      <c r="AC277" s="431">
        <f t="shared" si="107"/>
        <v>5793.9249232083093</v>
      </c>
    </row>
    <row r="278" spans="1:29">
      <c r="A278" s="25"/>
      <c r="B278" s="25"/>
      <c r="C278" s="50"/>
      <c r="D278" s="40"/>
      <c r="F278" s="39"/>
    </row>
    <row r="279" spans="1:29">
      <c r="A279" s="25"/>
      <c r="B279" s="25"/>
      <c r="C279" s="50"/>
      <c r="D279" s="25"/>
      <c r="F279" s="39"/>
    </row>
    <row r="280" spans="1:29" ht="14.25">
      <c r="A280" s="25"/>
      <c r="B280" s="25"/>
      <c r="C280" s="436" t="s">
        <v>602</v>
      </c>
      <c r="D280" s="39"/>
      <c r="E280" s="39"/>
      <c r="F280" s="39"/>
    </row>
    <row r="281" spans="1:29" ht="15.75">
      <c r="A281" s="25"/>
      <c r="B281" s="25"/>
      <c r="C281" s="425" t="s">
        <v>1</v>
      </c>
      <c r="D281" s="442">
        <f>SUM(D282:D285)</f>
        <v>18294.700472986511</v>
      </c>
      <c r="E281" s="39"/>
      <c r="F281" s="446"/>
      <c r="G281" s="446"/>
      <c r="H281" s="446"/>
      <c r="I281" s="446"/>
      <c r="J281" s="446"/>
      <c r="K281" s="446"/>
      <c r="L281" s="446"/>
      <c r="M281" s="446"/>
      <c r="N281" s="446"/>
      <c r="O281" s="446"/>
      <c r="P281" s="446"/>
      <c r="Q281" s="446"/>
      <c r="R281" s="446"/>
      <c r="S281" s="446"/>
      <c r="T281" s="446"/>
      <c r="U281" s="446"/>
      <c r="V281" s="446"/>
      <c r="W281" s="446"/>
      <c r="X281" s="446"/>
      <c r="Y281" s="446"/>
      <c r="Z281" s="446"/>
      <c r="AA281" s="446"/>
      <c r="AB281" s="446"/>
      <c r="AC281" s="446"/>
    </row>
    <row r="282" spans="1:29" ht="15.75">
      <c r="A282" s="25"/>
      <c r="B282" s="25"/>
      <c r="C282" s="427" t="s">
        <v>199</v>
      </c>
      <c r="D282" s="440">
        <f>-SUM(F282:AC282)/1000</f>
        <v>6478.7162807050618</v>
      </c>
      <c r="E282" s="39"/>
      <c r="F282" s="446">
        <f t="shared" ref="F282:AC282" si="108">F261*F$249</f>
        <v>-1112989.067961165</v>
      </c>
      <c r="G282" s="446">
        <f t="shared" si="108"/>
        <v>-5365727.212743897</v>
      </c>
      <c r="H282" s="446">
        <f t="shared" si="108"/>
        <v>0</v>
      </c>
      <c r="I282" s="446">
        <f t="shared" si="108"/>
        <v>0</v>
      </c>
      <c r="J282" s="446">
        <f t="shared" si="108"/>
        <v>0</v>
      </c>
      <c r="K282" s="446">
        <f t="shared" si="108"/>
        <v>0</v>
      </c>
      <c r="L282" s="446">
        <f t="shared" si="108"/>
        <v>0</v>
      </c>
      <c r="M282" s="446">
        <f t="shared" si="108"/>
        <v>0</v>
      </c>
      <c r="N282" s="446">
        <f t="shared" si="108"/>
        <v>0</v>
      </c>
      <c r="O282" s="446">
        <f t="shared" si="108"/>
        <v>0</v>
      </c>
      <c r="P282" s="446">
        <f t="shared" si="108"/>
        <v>0</v>
      </c>
      <c r="Q282" s="446">
        <f t="shared" si="108"/>
        <v>0</v>
      </c>
      <c r="R282" s="446">
        <f t="shared" si="108"/>
        <v>0</v>
      </c>
      <c r="S282" s="446">
        <f t="shared" si="108"/>
        <v>0</v>
      </c>
      <c r="T282" s="446">
        <f t="shared" si="108"/>
        <v>0</v>
      </c>
      <c r="U282" s="446">
        <f t="shared" si="108"/>
        <v>0</v>
      </c>
      <c r="V282" s="446">
        <f t="shared" si="108"/>
        <v>0</v>
      </c>
      <c r="W282" s="446">
        <f t="shared" si="108"/>
        <v>0</v>
      </c>
      <c r="X282" s="446">
        <f t="shared" si="108"/>
        <v>0</v>
      </c>
      <c r="Y282" s="446">
        <f t="shared" si="108"/>
        <v>0</v>
      </c>
      <c r="Z282" s="446">
        <f t="shared" si="108"/>
        <v>0</v>
      </c>
      <c r="AA282" s="446">
        <f t="shared" si="108"/>
        <v>0</v>
      </c>
      <c r="AB282" s="446">
        <f t="shared" si="108"/>
        <v>0</v>
      </c>
      <c r="AC282" s="446">
        <f t="shared" si="108"/>
        <v>0</v>
      </c>
    </row>
    <row r="283" spans="1:29" ht="15.75">
      <c r="A283" s="25"/>
      <c r="B283" s="25"/>
      <c r="C283" s="427" t="s">
        <v>200</v>
      </c>
      <c r="D283" s="440">
        <f>-SUM(F283:AC283)/1000</f>
        <v>0</v>
      </c>
      <c r="F283" s="446">
        <f t="shared" ref="F283:AC283" si="109">F262*F$249</f>
        <v>0</v>
      </c>
      <c r="G283" s="446">
        <f t="shared" si="109"/>
        <v>0</v>
      </c>
      <c r="H283" s="446">
        <f t="shared" si="109"/>
        <v>0</v>
      </c>
      <c r="I283" s="446">
        <f t="shared" si="109"/>
        <v>0</v>
      </c>
      <c r="J283" s="446">
        <f t="shared" si="109"/>
        <v>0</v>
      </c>
      <c r="K283" s="446">
        <f t="shared" si="109"/>
        <v>0</v>
      </c>
      <c r="L283" s="446">
        <f t="shared" si="109"/>
        <v>0</v>
      </c>
      <c r="M283" s="446">
        <f t="shared" si="109"/>
        <v>0</v>
      </c>
      <c r="N283" s="446">
        <f t="shared" si="109"/>
        <v>0</v>
      </c>
      <c r="O283" s="446">
        <f t="shared" si="109"/>
        <v>0</v>
      </c>
      <c r="P283" s="446">
        <f t="shared" si="109"/>
        <v>0</v>
      </c>
      <c r="Q283" s="446">
        <f t="shared" si="109"/>
        <v>0</v>
      </c>
      <c r="R283" s="446">
        <f t="shared" si="109"/>
        <v>0</v>
      </c>
      <c r="S283" s="446">
        <f t="shared" si="109"/>
        <v>0</v>
      </c>
      <c r="T283" s="446">
        <f t="shared" si="109"/>
        <v>0</v>
      </c>
      <c r="U283" s="446">
        <f t="shared" si="109"/>
        <v>0</v>
      </c>
      <c r="V283" s="446">
        <f t="shared" si="109"/>
        <v>0</v>
      </c>
      <c r="W283" s="446">
        <f t="shared" si="109"/>
        <v>0</v>
      </c>
      <c r="X283" s="446">
        <f t="shared" si="109"/>
        <v>0</v>
      </c>
      <c r="Y283" s="446">
        <f t="shared" si="109"/>
        <v>0</v>
      </c>
      <c r="Z283" s="446">
        <f t="shared" si="109"/>
        <v>0</v>
      </c>
      <c r="AA283" s="446">
        <f t="shared" si="109"/>
        <v>0</v>
      </c>
      <c r="AB283" s="446">
        <f t="shared" si="109"/>
        <v>0</v>
      </c>
      <c r="AC283" s="446">
        <f t="shared" si="109"/>
        <v>0</v>
      </c>
    </row>
    <row r="284" spans="1:29" ht="15.75">
      <c r="A284" s="25"/>
      <c r="B284" s="25"/>
      <c r="C284" s="428" t="s">
        <v>563</v>
      </c>
      <c r="D284" s="440">
        <f>-SUM(F284:AC284)/1000</f>
        <v>525.60937323424173</v>
      </c>
      <c r="F284" s="446">
        <f t="shared" ref="F284:AC284" si="110">F263*F$249</f>
        <v>-266300.16374649276</v>
      </c>
      <c r="G284" s="446">
        <f t="shared" si="110"/>
        <v>-259309.20948774897</v>
      </c>
      <c r="H284" s="446">
        <f t="shared" si="110"/>
        <v>0</v>
      </c>
      <c r="I284" s="446">
        <f t="shared" si="110"/>
        <v>0</v>
      </c>
      <c r="J284" s="446">
        <f t="shared" si="110"/>
        <v>0</v>
      </c>
      <c r="K284" s="446">
        <f t="shared" si="110"/>
        <v>0</v>
      </c>
      <c r="L284" s="446">
        <f t="shared" si="110"/>
        <v>0</v>
      </c>
      <c r="M284" s="446">
        <f t="shared" si="110"/>
        <v>0</v>
      </c>
      <c r="N284" s="446">
        <f t="shared" si="110"/>
        <v>0</v>
      </c>
      <c r="O284" s="446">
        <f t="shared" si="110"/>
        <v>0</v>
      </c>
      <c r="P284" s="446">
        <f t="shared" si="110"/>
        <v>0</v>
      </c>
      <c r="Q284" s="446">
        <f t="shared" si="110"/>
        <v>0</v>
      </c>
      <c r="R284" s="446">
        <f t="shared" si="110"/>
        <v>0</v>
      </c>
      <c r="S284" s="446">
        <f t="shared" si="110"/>
        <v>0</v>
      </c>
      <c r="T284" s="446">
        <f t="shared" si="110"/>
        <v>0</v>
      </c>
      <c r="U284" s="446">
        <f t="shared" si="110"/>
        <v>0</v>
      </c>
      <c r="V284" s="446">
        <f t="shared" si="110"/>
        <v>0</v>
      </c>
      <c r="W284" s="446">
        <f t="shared" si="110"/>
        <v>0</v>
      </c>
      <c r="X284" s="446">
        <f t="shared" si="110"/>
        <v>0</v>
      </c>
      <c r="Y284" s="446">
        <f t="shared" si="110"/>
        <v>0</v>
      </c>
      <c r="Z284" s="446">
        <f t="shared" si="110"/>
        <v>0</v>
      </c>
      <c r="AA284" s="446">
        <f t="shared" si="110"/>
        <v>0</v>
      </c>
      <c r="AB284" s="446">
        <f t="shared" si="110"/>
        <v>0</v>
      </c>
      <c r="AC284" s="446">
        <f t="shared" si="110"/>
        <v>0</v>
      </c>
    </row>
    <row r="285" spans="1:29" ht="15.75">
      <c r="A285" s="25"/>
      <c r="B285" s="25"/>
      <c r="C285" s="427" t="s">
        <v>201</v>
      </c>
      <c r="D285" s="440">
        <f>-SUM(F285:AC285)/1000</f>
        <v>11290.374819047209</v>
      </c>
      <c r="F285" s="446">
        <f t="shared" ref="F285:AC285" si="111">F264*F$249</f>
        <v>0</v>
      </c>
      <c r="G285" s="446">
        <f t="shared" si="111"/>
        <v>-520605.77871487581</v>
      </c>
      <c r="H285" s="446">
        <f t="shared" si="111"/>
        <v>-602554.79367957416</v>
      </c>
      <c r="I285" s="446">
        <f t="shared" si="111"/>
        <v>-589338.87407436583</v>
      </c>
      <c r="J285" s="446">
        <f t="shared" si="111"/>
        <v>-576429.76398009597</v>
      </c>
      <c r="K285" s="446">
        <f t="shared" si="111"/>
        <v>-563819.86818863591</v>
      </c>
      <c r="L285" s="446">
        <f t="shared" si="111"/>
        <v>-551501.79179631127</v>
      </c>
      <c r="M285" s="446">
        <f t="shared" si="111"/>
        <v>-539468.33462668478</v>
      </c>
      <c r="N285" s="446">
        <f t="shared" si="111"/>
        <v>-527712.48581513984</v>
      </c>
      <c r="O285" s="446">
        <f t="shared" si="111"/>
        <v>-517806.22418950638</v>
      </c>
      <c r="P285" s="446">
        <f t="shared" si="111"/>
        <v>-508072.12698618806</v>
      </c>
      <c r="Q285" s="446">
        <f t="shared" si="111"/>
        <v>-498507.73840451421</v>
      </c>
      <c r="R285" s="446">
        <f t="shared" si="111"/>
        <v>-489110.61577589449</v>
      </c>
      <c r="S285" s="446">
        <f t="shared" si="111"/>
        <v>-479878.33056900214</v>
      </c>
      <c r="T285" s="446">
        <f t="shared" si="111"/>
        <v>-470808.46933134366</v>
      </c>
      <c r="U285" s="446">
        <f t="shared" si="111"/>
        <v>-461898.63456995157</v>
      </c>
      <c r="V285" s="446">
        <f t="shared" si="111"/>
        <v>-453146.44557382772</v>
      </c>
      <c r="W285" s="446">
        <f t="shared" si="111"/>
        <v>-444549.53918067354</v>
      </c>
      <c r="X285" s="446">
        <f t="shared" si="111"/>
        <v>-436105.5704903421</v>
      </c>
      <c r="Y285" s="446">
        <f t="shared" si="111"/>
        <v>-427812.21352735563</v>
      </c>
      <c r="Z285" s="446">
        <f t="shared" si="111"/>
        <v>-419667.16185474378</v>
      </c>
      <c r="AA285" s="446">
        <f t="shared" si="111"/>
        <v>-411668.12914137117</v>
      </c>
      <c r="AB285" s="446">
        <f t="shared" si="111"/>
        <v>-403812.84968483984</v>
      </c>
      <c r="AC285" s="446">
        <f t="shared" si="111"/>
        <v>-396099.07889197237</v>
      </c>
    </row>
    <row r="286" spans="1:29" ht="15.75">
      <c r="A286" s="25"/>
      <c r="B286" s="25"/>
      <c r="C286" s="426"/>
      <c r="D286" s="441"/>
      <c r="F286" s="438">
        <f>SUM(F282:F285)</f>
        <v>-1379289.2317076577</v>
      </c>
      <c r="G286" s="438">
        <f t="shared" ref="G286:AC286" si="112">SUM(G282:G285)</f>
        <v>-6145642.2009465219</v>
      </c>
      <c r="H286" s="438">
        <f t="shared" si="112"/>
        <v>-602554.79367957416</v>
      </c>
      <c r="I286" s="438">
        <f t="shared" si="112"/>
        <v>-589338.87407436583</v>
      </c>
      <c r="J286" s="438">
        <f t="shared" si="112"/>
        <v>-576429.76398009597</v>
      </c>
      <c r="K286" s="438">
        <f t="shared" si="112"/>
        <v>-563819.86818863591</v>
      </c>
      <c r="L286" s="438">
        <f t="shared" si="112"/>
        <v>-551501.79179631127</v>
      </c>
      <c r="M286" s="438">
        <f t="shared" si="112"/>
        <v>-539468.33462668478</v>
      </c>
      <c r="N286" s="438">
        <f t="shared" si="112"/>
        <v>-527712.48581513984</v>
      </c>
      <c r="O286" s="438">
        <f t="shared" si="112"/>
        <v>-517806.22418950638</v>
      </c>
      <c r="P286" s="438">
        <f t="shared" si="112"/>
        <v>-508072.12698618806</v>
      </c>
      <c r="Q286" s="438">
        <f t="shared" si="112"/>
        <v>-498507.73840451421</v>
      </c>
      <c r="R286" s="438">
        <f t="shared" si="112"/>
        <v>-489110.61577589449</v>
      </c>
      <c r="S286" s="438">
        <f t="shared" si="112"/>
        <v>-479878.33056900214</v>
      </c>
      <c r="T286" s="438">
        <f t="shared" si="112"/>
        <v>-470808.46933134366</v>
      </c>
      <c r="U286" s="438">
        <f t="shared" si="112"/>
        <v>-461898.63456995157</v>
      </c>
      <c r="V286" s="438">
        <f t="shared" si="112"/>
        <v>-453146.44557382772</v>
      </c>
      <c r="W286" s="438">
        <f t="shared" si="112"/>
        <v>-444549.53918067354</v>
      </c>
      <c r="X286" s="438">
        <f t="shared" si="112"/>
        <v>-436105.5704903421</v>
      </c>
      <c r="Y286" s="438">
        <f t="shared" si="112"/>
        <v>-427812.21352735563</v>
      </c>
      <c r="Z286" s="438">
        <f t="shared" si="112"/>
        <v>-419667.16185474378</v>
      </c>
      <c r="AA286" s="438">
        <f t="shared" si="112"/>
        <v>-411668.12914137117</v>
      </c>
      <c r="AB286" s="438">
        <f t="shared" si="112"/>
        <v>-403812.84968483984</v>
      </c>
      <c r="AC286" s="438">
        <f t="shared" si="112"/>
        <v>-396099.07889197237</v>
      </c>
    </row>
    <row r="287" spans="1:29" ht="15.75">
      <c r="A287" s="25"/>
      <c r="B287" s="25"/>
      <c r="C287" s="425" t="s">
        <v>0</v>
      </c>
      <c r="D287" s="442">
        <f>SUM(D288:D294)</f>
        <v>40261.888291327465</v>
      </c>
      <c r="F287" s="430"/>
      <c r="G287" s="430"/>
      <c r="H287" s="430"/>
      <c r="I287" s="430"/>
      <c r="J287" s="430"/>
      <c r="K287" s="430"/>
      <c r="L287" s="430"/>
      <c r="M287" s="430"/>
      <c r="N287" s="430"/>
      <c r="O287" s="430"/>
      <c r="P287" s="430"/>
      <c r="Q287" s="430"/>
      <c r="R287" s="430"/>
      <c r="S287" s="430"/>
      <c r="T287" s="430"/>
      <c r="U287" s="430"/>
      <c r="V287" s="430"/>
      <c r="W287" s="430"/>
      <c r="X287" s="430"/>
      <c r="Y287" s="430"/>
      <c r="Z287" s="430"/>
      <c r="AA287" s="430"/>
      <c r="AB287" s="430"/>
      <c r="AC287" s="430"/>
    </row>
    <row r="288" spans="1:29" ht="15.75">
      <c r="A288" s="25"/>
      <c r="C288" s="427" t="s">
        <v>599</v>
      </c>
      <c r="D288" s="440">
        <f t="shared" ref="D288:D294" si="113">SUM(F288:AC288)/1000</f>
        <v>-4318.1608592285538</v>
      </c>
      <c r="F288" s="448">
        <f t="shared" ref="F288:AC288" si="114">F267*F$249</f>
        <v>0</v>
      </c>
      <c r="G288" s="448">
        <f t="shared" si="114"/>
        <v>-56934.123400824625</v>
      </c>
      <c r="H288" s="448">
        <f t="shared" si="114"/>
        <v>-254082.94919648458</v>
      </c>
      <c r="I288" s="448">
        <f t="shared" si="114"/>
        <v>-245319.28642668307</v>
      </c>
      <c r="J288" s="448">
        <f t="shared" si="114"/>
        <v>-236857.50504070829</v>
      </c>
      <c r="K288" s="448">
        <f t="shared" si="114"/>
        <v>-228687.30119225438</v>
      </c>
      <c r="L288" s="448">
        <f t="shared" si="114"/>
        <v>-220798.71841611198</v>
      </c>
      <c r="M288" s="448">
        <f t="shared" si="114"/>
        <v>-213182.13606455908</v>
      </c>
      <c r="N288" s="448">
        <f t="shared" si="114"/>
        <v>-205828.25812412903</v>
      </c>
      <c r="O288" s="448">
        <f t="shared" si="114"/>
        <v>-202066.21369158255</v>
      </c>
      <c r="P288" s="448">
        <f t="shared" si="114"/>
        <v>-198336.74508118903</v>
      </c>
      <c r="Q288" s="448">
        <f t="shared" si="114"/>
        <v>-194641.35011989961</v>
      </c>
      <c r="R288" s="448">
        <f t="shared" si="114"/>
        <v>-190981.40759762641</v>
      </c>
      <c r="S288" s="448">
        <f t="shared" si="114"/>
        <v>-187358.18302174789</v>
      </c>
      <c r="T288" s="448">
        <f t="shared" si="114"/>
        <v>-183772.83413527193</v>
      </c>
      <c r="U288" s="448">
        <f t="shared" si="114"/>
        <v>-180226.41620759177</v>
      </c>
      <c r="V288" s="448">
        <f t="shared" si="114"/>
        <v>-176719.88710645048</v>
      </c>
      <c r="W288" s="448">
        <f t="shared" si="114"/>
        <v>-173254.11215941893</v>
      </c>
      <c r="X288" s="448">
        <f t="shared" si="114"/>
        <v>-169829.86881289192</v>
      </c>
      <c r="Y288" s="448">
        <f t="shared" si="114"/>
        <v>-166447.8510963202</v>
      </c>
      <c r="Z288" s="448">
        <f t="shared" si="114"/>
        <v>-163108.67389911524</v>
      </c>
      <c r="AA288" s="448">
        <f t="shared" si="114"/>
        <v>-159812.8770673956</v>
      </c>
      <c r="AB288" s="448">
        <f t="shared" si="114"/>
        <v>-156560.92932748428</v>
      </c>
      <c r="AC288" s="448">
        <f t="shared" si="114"/>
        <v>-153353.23204281379</v>
      </c>
    </row>
    <row r="289" spans="1:29" ht="15.75">
      <c r="A289" s="25"/>
      <c r="B289" s="25"/>
      <c r="C289" s="427" t="s">
        <v>600</v>
      </c>
      <c r="D289" s="440">
        <f t="shared" si="113"/>
        <v>10720.087671559191</v>
      </c>
      <c r="F289" s="446">
        <f t="shared" ref="F289:AC289" si="115">F268*F$249</f>
        <v>0</v>
      </c>
      <c r="G289" s="446">
        <f t="shared" si="115"/>
        <v>384269.63770808023</v>
      </c>
      <c r="H289" s="446">
        <f t="shared" si="115"/>
        <v>585787.96710845886</v>
      </c>
      <c r="I289" s="446">
        <f t="shared" si="115"/>
        <v>570972.37694013561</v>
      </c>
      <c r="J289" s="446">
        <f t="shared" si="115"/>
        <v>556558.40342855605</v>
      </c>
      <c r="K289" s="446">
        <f t="shared" si="115"/>
        <v>542534.53036631853</v>
      </c>
      <c r="L289" s="446">
        <f t="shared" si="115"/>
        <v>528889.58507862361</v>
      </c>
      <c r="M289" s="446">
        <f t="shared" si="115"/>
        <v>515612.72792125162</v>
      </c>
      <c r="N289" s="446">
        <f t="shared" si="115"/>
        <v>502693.44210392836</v>
      </c>
      <c r="O289" s="446">
        <f t="shared" si="115"/>
        <v>493705.55878536968</v>
      </c>
      <c r="P289" s="446">
        <f t="shared" si="115"/>
        <v>484846.36391266767</v>
      </c>
      <c r="Q289" s="446">
        <f t="shared" si="115"/>
        <v>476115.37270223349</v>
      </c>
      <c r="R289" s="446">
        <f t="shared" si="115"/>
        <v>467512.03134440334</v>
      </c>
      <c r="S289" s="446">
        <f t="shared" si="115"/>
        <v>459035.72120446566</v>
      </c>
      <c r="T289" s="446">
        <f t="shared" si="115"/>
        <v>450685.76284201432</v>
      </c>
      <c r="U289" s="446">
        <f t="shared" si="115"/>
        <v>442461.41985556</v>
      </c>
      <c r="V289" s="446">
        <f t="shared" si="115"/>
        <v>434361.90255908284</v>
      </c>
      <c r="W289" s="446">
        <f t="shared" si="115"/>
        <v>426386.3714969721</v>
      </c>
      <c r="X289" s="446">
        <f t="shared" si="115"/>
        <v>418533.94080356497</v>
      </c>
      <c r="Y289" s="446">
        <f t="shared" si="115"/>
        <v>410803.68141327455</v>
      </c>
      <c r="Z289" s="446">
        <f t="shared" si="115"/>
        <v>403194.62412708311</v>
      </c>
      <c r="AA289" s="446">
        <f t="shared" si="115"/>
        <v>395705.76254096424</v>
      </c>
      <c r="AB289" s="446">
        <f t="shared" si="115"/>
        <v>388336.0558416025</v>
      </c>
      <c r="AC289" s="446">
        <f t="shared" si="115"/>
        <v>381084.43147457909</v>
      </c>
    </row>
    <row r="290" spans="1:29" ht="15.75">
      <c r="A290" s="25"/>
      <c r="B290" s="25"/>
      <c r="C290" s="427" t="s">
        <v>202</v>
      </c>
      <c r="D290" s="440">
        <f t="shared" si="113"/>
        <v>6346.7689333420849</v>
      </c>
      <c r="F290" s="446">
        <f t="shared" ref="F290:AC290" si="116">F269*F$249</f>
        <v>0</v>
      </c>
      <c r="G290" s="446">
        <f t="shared" si="116"/>
        <v>328113.10496681032</v>
      </c>
      <c r="H290" s="446">
        <f t="shared" si="116"/>
        <v>328596.37132602627</v>
      </c>
      <c r="I290" s="446">
        <f t="shared" si="116"/>
        <v>322635.81419027544</v>
      </c>
      <c r="J290" s="446">
        <f t="shared" si="116"/>
        <v>316779.67902174959</v>
      </c>
      <c r="K290" s="446">
        <f t="shared" si="116"/>
        <v>311026.32316973497</v>
      </c>
      <c r="L290" s="446">
        <f t="shared" si="116"/>
        <v>305374.12222544104</v>
      </c>
      <c r="M290" s="446">
        <f t="shared" si="116"/>
        <v>299821.47014898097</v>
      </c>
      <c r="N290" s="446">
        <f t="shared" si="116"/>
        <v>294366.77937725396</v>
      </c>
      <c r="O290" s="446">
        <f t="shared" si="116"/>
        <v>289152.75241428905</v>
      </c>
      <c r="P290" s="446">
        <f t="shared" si="116"/>
        <v>284034.17047420971</v>
      </c>
      <c r="Q290" s="446">
        <f t="shared" si="116"/>
        <v>279009.17511990585</v>
      </c>
      <c r="R290" s="446">
        <f t="shared" si="116"/>
        <v>274075.94867923687</v>
      </c>
      <c r="S290" s="446">
        <f t="shared" si="116"/>
        <v>269232.71318887244</v>
      </c>
      <c r="T290" s="446">
        <f t="shared" si="116"/>
        <v>264477.72937014617</v>
      </c>
      <c r="U290" s="446">
        <f t="shared" si="116"/>
        <v>259809.29563585352</v>
      </c>
      <c r="V290" s="446">
        <f t="shared" si="116"/>
        <v>255225.74712695845</v>
      </c>
      <c r="W290" s="446">
        <f t="shared" si="116"/>
        <v>250725.45477821349</v>
      </c>
      <c r="X290" s="446">
        <f t="shared" si="116"/>
        <v>246306.82441173075</v>
      </c>
      <c r="Y290" s="446">
        <f t="shared" si="116"/>
        <v>241968.29585757339</v>
      </c>
      <c r="Z290" s="446">
        <f t="shared" si="116"/>
        <v>237708.3421004735</v>
      </c>
      <c r="AA290" s="446">
        <f t="shared" si="116"/>
        <v>233525.46845180824</v>
      </c>
      <c r="AB290" s="446">
        <f t="shared" si="116"/>
        <v>229418.2117460013</v>
      </c>
      <c r="AC290" s="446">
        <f t="shared" si="116"/>
        <v>225385.1395605414</v>
      </c>
    </row>
    <row r="291" spans="1:29" ht="15.75">
      <c r="C291" s="427" t="s">
        <v>203</v>
      </c>
      <c r="D291" s="440">
        <f t="shared" si="113"/>
        <v>2258.9408437011612</v>
      </c>
      <c r="F291" s="446">
        <f t="shared" ref="F291:AC291" si="117">F270*F$249</f>
        <v>0</v>
      </c>
      <c r="G291" s="446">
        <f t="shared" si="117"/>
        <v>13738.849090394961</v>
      </c>
      <c r="H291" s="446">
        <f t="shared" si="117"/>
        <v>137634.34122760844</v>
      </c>
      <c r="I291" s="446">
        <f t="shared" si="117"/>
        <v>133994.10814674565</v>
      </c>
      <c r="J291" s="446">
        <f t="shared" si="117"/>
        <v>130450.40765110363</v>
      </c>
      <c r="K291" s="446">
        <f t="shared" si="117"/>
        <v>127000.68054011256</v>
      </c>
      <c r="L291" s="446">
        <f t="shared" si="117"/>
        <v>123642.4352684215</v>
      </c>
      <c r="M291" s="446">
        <f t="shared" si="117"/>
        <v>120373.24616679951</v>
      </c>
      <c r="N291" s="446">
        <f t="shared" si="117"/>
        <v>117190.75170945555</v>
      </c>
      <c r="O291" s="446">
        <f t="shared" si="117"/>
        <v>114297.55365548968</v>
      </c>
      <c r="P291" s="446">
        <f t="shared" si="117"/>
        <v>111474.57694813766</v>
      </c>
      <c r="Q291" s="446">
        <f t="shared" si="117"/>
        <v>108720.16401668891</v>
      </c>
      <c r="R291" s="446">
        <f t="shared" si="117"/>
        <v>106032.69469239475</v>
      </c>
      <c r="S291" s="446">
        <f t="shared" si="117"/>
        <v>103410.58542781766</v>
      </c>
      <c r="T291" s="446">
        <f t="shared" si="117"/>
        <v>100852.2885300826</v>
      </c>
      <c r="U291" s="446">
        <f t="shared" si="117"/>
        <v>98356.291407880257</v>
      </c>
      <c r="V291" s="446">
        <f t="shared" si="117"/>
        <v>95921.1158320674</v>
      </c>
      <c r="W291" s="446">
        <f t="shared" si="117"/>
        <v>93545.317209709683</v>
      </c>
      <c r="X291" s="446">
        <f t="shared" si="117"/>
        <v>91227.48387140705</v>
      </c>
      <c r="Y291" s="446">
        <f t="shared" si="117"/>
        <v>85995.402313087499</v>
      </c>
      <c r="Z291" s="446">
        <f t="shared" si="117"/>
        <v>80836.211223773149</v>
      </c>
      <c r="AA291" s="446">
        <f t="shared" si="117"/>
        <v>75905.491278531408</v>
      </c>
      <c r="AB291" s="446">
        <f t="shared" si="117"/>
        <v>71194.292950302683</v>
      </c>
      <c r="AC291" s="446">
        <f t="shared" si="117"/>
        <v>17146.554543148952</v>
      </c>
    </row>
    <row r="292" spans="1:29" ht="15.75">
      <c r="C292" s="427" t="s">
        <v>204</v>
      </c>
      <c r="D292" s="440">
        <f t="shared" si="113"/>
        <v>1928.6378333130181</v>
      </c>
      <c r="F292" s="446">
        <f t="shared" ref="F292:AC292" si="118">F271*F$249</f>
        <v>0</v>
      </c>
      <c r="G292" s="446">
        <f t="shared" si="118"/>
        <v>76784.123372790578</v>
      </c>
      <c r="H292" s="446">
        <f t="shared" si="118"/>
        <v>136918.29618804131</v>
      </c>
      <c r="I292" s="446">
        <f t="shared" si="118"/>
        <v>127822.29558916685</v>
      </c>
      <c r="J292" s="446">
        <f t="shared" si="118"/>
        <v>119302.73915016426</v>
      </c>
      <c r="K292" s="446">
        <f t="shared" si="118"/>
        <v>111151.58644854184</v>
      </c>
      <c r="L292" s="446">
        <f t="shared" si="118"/>
        <v>103386.15582995635</v>
      </c>
      <c r="M292" s="446">
        <f t="shared" si="118"/>
        <v>96019.522591368426</v>
      </c>
      <c r="N292" s="446">
        <f t="shared" si="118"/>
        <v>89030.285317597198</v>
      </c>
      <c r="O292" s="446">
        <f t="shared" si="118"/>
        <v>84342.020015678601</v>
      </c>
      <c r="P292" s="446">
        <f t="shared" si="118"/>
        <v>82252.029438219979</v>
      </c>
      <c r="Q292" s="446">
        <f t="shared" si="118"/>
        <v>80202.33634191523</v>
      </c>
      <c r="R292" s="446">
        <f t="shared" si="118"/>
        <v>78192.60166078672</v>
      </c>
      <c r="S292" s="446">
        <f t="shared" si="118"/>
        <v>76222.465753180179</v>
      </c>
      <c r="T292" s="446">
        <f t="shared" si="118"/>
        <v>74291.550059221685</v>
      </c>
      <c r="U292" s="446">
        <f t="shared" si="118"/>
        <v>72399.458674216439</v>
      </c>
      <c r="V292" s="446">
        <f t="shared" si="118"/>
        <v>70545.779841626267</v>
      </c>
      <c r="W292" s="446">
        <f t="shared" si="118"/>
        <v>68730.087369118526</v>
      </c>
      <c r="X292" s="446">
        <f t="shared" si="118"/>
        <v>66951.941971038206</v>
      </c>
      <c r="Y292" s="446">
        <f t="shared" si="118"/>
        <v>65210.892540522836</v>
      </c>
      <c r="Z292" s="446">
        <f t="shared" si="118"/>
        <v>63996.522071747662</v>
      </c>
      <c r="AA292" s="446">
        <f t="shared" si="118"/>
        <v>62800.374394042236</v>
      </c>
      <c r="AB292" s="446">
        <f t="shared" si="118"/>
        <v>61622.365790157543</v>
      </c>
      <c r="AC292" s="446">
        <f t="shared" si="118"/>
        <v>60462.402903919225</v>
      </c>
    </row>
    <row r="293" spans="1:29" ht="15.75">
      <c r="C293" s="427" t="s">
        <v>601</v>
      </c>
      <c r="D293" s="440">
        <f t="shared" si="113"/>
        <v>26.680613632784674</v>
      </c>
      <c r="F293" s="446">
        <f t="shared" ref="F293:AC293" si="119">F272*F$249</f>
        <v>0</v>
      </c>
      <c r="G293" s="446">
        <f t="shared" si="119"/>
        <v>1404.0654058596147</v>
      </c>
      <c r="H293" s="446">
        <f t="shared" si="119"/>
        <v>1402.3251238458497</v>
      </c>
      <c r="I293" s="446">
        <f t="shared" si="119"/>
        <v>1374.6752455556216</v>
      </c>
      <c r="J293" s="446">
        <f t="shared" si="119"/>
        <v>1347.5761732479245</v>
      </c>
      <c r="K293" s="446">
        <f t="shared" si="119"/>
        <v>1321.0167575955822</v>
      </c>
      <c r="L293" s="446">
        <f t="shared" si="119"/>
        <v>1294.9860804088992</v>
      </c>
      <c r="M293" s="446">
        <f t="shared" si="119"/>
        <v>1269.4734496796063</v>
      </c>
      <c r="N293" s="446">
        <f t="shared" si="119"/>
        <v>1244.4683947358765</v>
      </c>
      <c r="O293" s="446">
        <f t="shared" si="119"/>
        <v>1220.3983867556985</v>
      </c>
      <c r="P293" s="446">
        <f t="shared" si="119"/>
        <v>1196.7901598282351</v>
      </c>
      <c r="Q293" s="446">
        <f t="shared" si="119"/>
        <v>1173.6349933074791</v>
      </c>
      <c r="R293" s="446">
        <f t="shared" si="119"/>
        <v>1150.9243263004021</v>
      </c>
      <c r="S293" s="446">
        <f t="shared" si="119"/>
        <v>1128.6497549143421</v>
      </c>
      <c r="T293" s="446">
        <f t="shared" si="119"/>
        <v>1106.8030295456097</v>
      </c>
      <c r="U293" s="446">
        <f t="shared" si="119"/>
        <v>1085.3760522089367</v>
      </c>
      <c r="V293" s="446">
        <f t="shared" si="119"/>
        <v>1064.3608739073716</v>
      </c>
      <c r="W293" s="446">
        <f t="shared" si="119"/>
        <v>1043.749692042222</v>
      </c>
      <c r="X293" s="446">
        <f t="shared" si="119"/>
        <v>1023.5348478626523</v>
      </c>
      <c r="Y293" s="446">
        <f t="shared" si="119"/>
        <v>1003.7088239545171</v>
      </c>
      <c r="Z293" s="446">
        <f t="shared" si="119"/>
        <v>984.26424176802936</v>
      </c>
      <c r="AA293" s="446">
        <f t="shared" si="119"/>
        <v>965.1938591838416</v>
      </c>
      <c r="AB293" s="446">
        <f t="shared" si="119"/>
        <v>946.49056811712717</v>
      </c>
      <c r="AC293" s="446">
        <f t="shared" si="119"/>
        <v>928.14739215923805</v>
      </c>
    </row>
    <row r="294" spans="1:29" ht="15.75">
      <c r="C294" s="427" t="s">
        <v>205</v>
      </c>
      <c r="D294" s="440">
        <f t="shared" si="113"/>
        <v>23298.933255007782</v>
      </c>
      <c r="F294" s="446">
        <f t="shared" ref="F294:AC294" si="120">F273*F$249</f>
        <v>0</v>
      </c>
      <c r="G294" s="446">
        <f t="shared" si="120"/>
        <v>346572.38896817126</v>
      </c>
      <c r="H294" s="446">
        <f t="shared" si="120"/>
        <v>1333837.4303555649</v>
      </c>
      <c r="I294" s="446">
        <f t="shared" si="120"/>
        <v>1291570.5407502938</v>
      </c>
      <c r="J294" s="446">
        <f t="shared" si="120"/>
        <v>1250666.2907652394</v>
      </c>
      <c r="K294" s="446">
        <f t="shared" si="120"/>
        <v>1211080.5378639973</v>
      </c>
      <c r="L294" s="446">
        <f t="shared" si="120"/>
        <v>1172770.56702121</v>
      </c>
      <c r="M294" s="446">
        <f t="shared" si="120"/>
        <v>1135695.0447797808</v>
      </c>
      <c r="N294" s="446">
        <f t="shared" si="120"/>
        <v>1099813.9747779081</v>
      </c>
      <c r="O294" s="446">
        <f t="shared" si="120"/>
        <v>1082135.8052359398</v>
      </c>
      <c r="P294" s="446">
        <f t="shared" si="120"/>
        <v>1064582.8977787949</v>
      </c>
      <c r="Q294" s="446">
        <f t="shared" si="120"/>
        <v>1047162.3996495728</v>
      </c>
      <c r="R294" s="446">
        <f t="shared" si="120"/>
        <v>1029880.9462200138</v>
      </c>
      <c r="S294" s="446">
        <f t="shared" si="120"/>
        <v>1012744.6845364926</v>
      </c>
      <c r="T294" s="446">
        <f t="shared" si="120"/>
        <v>995759.29593268561</v>
      </c>
      <c r="U294" s="446">
        <f t="shared" si="120"/>
        <v>978930.01774323278</v>
      </c>
      <c r="V294" s="446">
        <f t="shared" si="120"/>
        <v>962261.66415149393</v>
      </c>
      <c r="W294" s="446">
        <f t="shared" si="120"/>
        <v>945758.64620335738</v>
      </c>
      <c r="X294" s="446">
        <f t="shared" si="120"/>
        <v>929424.99101790728</v>
      </c>
      <c r="Y294" s="446">
        <f t="shared" si="120"/>
        <v>913264.36022469308</v>
      </c>
      <c r="Z294" s="446">
        <f t="shared" si="120"/>
        <v>897280.06765627873</v>
      </c>
      <c r="AA294" s="446">
        <f t="shared" si="120"/>
        <v>881475.09632374824</v>
      </c>
      <c r="AB294" s="446">
        <f t="shared" si="120"/>
        <v>865852.11470185267</v>
      </c>
      <c r="AC294" s="446">
        <f t="shared" si="120"/>
        <v>850413.49234955118</v>
      </c>
    </row>
    <row r="295" spans="1:29" ht="15.75">
      <c r="C295" s="426"/>
      <c r="D295" s="441"/>
      <c r="F295" s="437">
        <f>SUM(F288:F294)</f>
        <v>0</v>
      </c>
      <c r="G295" s="437">
        <f t="shared" ref="G295:AC295" si="121">SUM(G288:G294)</f>
        <v>1093948.0461112824</v>
      </c>
      <c r="H295" s="437">
        <f t="shared" si="121"/>
        <v>2270093.7821330614</v>
      </c>
      <c r="I295" s="437">
        <f t="shared" si="121"/>
        <v>2203050.5244354899</v>
      </c>
      <c r="J295" s="437">
        <f t="shared" si="121"/>
        <v>2138247.5911493525</v>
      </c>
      <c r="K295" s="437">
        <f t="shared" si="121"/>
        <v>2075427.3739540463</v>
      </c>
      <c r="L295" s="437">
        <f t="shared" si="121"/>
        <v>2014559.1330879494</v>
      </c>
      <c r="M295" s="437">
        <f t="shared" si="121"/>
        <v>1955609.3489933019</v>
      </c>
      <c r="N295" s="437">
        <f t="shared" si="121"/>
        <v>1898511.4435567497</v>
      </c>
      <c r="O295" s="437">
        <f t="shared" si="121"/>
        <v>1862787.8748019398</v>
      </c>
      <c r="P295" s="437">
        <f t="shared" si="121"/>
        <v>1830050.0836306692</v>
      </c>
      <c r="Q295" s="437">
        <f t="shared" si="121"/>
        <v>1797741.7327037242</v>
      </c>
      <c r="R295" s="437">
        <f t="shared" si="121"/>
        <v>1765863.7393255094</v>
      </c>
      <c r="S295" s="437">
        <f t="shared" si="121"/>
        <v>1734416.636843995</v>
      </c>
      <c r="T295" s="437">
        <f t="shared" si="121"/>
        <v>1703400.5956284241</v>
      </c>
      <c r="U295" s="437">
        <f t="shared" si="121"/>
        <v>1672815.44316136</v>
      </c>
      <c r="V295" s="437">
        <f t="shared" si="121"/>
        <v>1642660.6832786859</v>
      </c>
      <c r="W295" s="437">
        <f t="shared" si="121"/>
        <v>1612935.5145899944</v>
      </c>
      <c r="X295" s="437">
        <f t="shared" si="121"/>
        <v>1583638.848110619</v>
      </c>
      <c r="Y295" s="437">
        <f t="shared" si="121"/>
        <v>1551798.4900767859</v>
      </c>
      <c r="Z295" s="437">
        <f t="shared" si="121"/>
        <v>1520891.3575220089</v>
      </c>
      <c r="AA295" s="437">
        <f t="shared" si="121"/>
        <v>1490564.5097808824</v>
      </c>
      <c r="AB295" s="437">
        <f t="shared" si="121"/>
        <v>1460808.6022705496</v>
      </c>
      <c r="AC295" s="437">
        <f t="shared" si="121"/>
        <v>1382066.9361810852</v>
      </c>
    </row>
    <row r="296" spans="1:29" ht="15.75">
      <c r="C296" s="425" t="s">
        <v>184</v>
      </c>
      <c r="D296" s="442">
        <f>NPV(0.03,F276:AC276)/1000</f>
        <v>21967.18781834095</v>
      </c>
    </row>
    <row r="297" spans="1:29" ht="15.75">
      <c r="C297" s="425" t="s">
        <v>185</v>
      </c>
      <c r="D297" s="443">
        <f>IRR(F297:AC297)</f>
        <v>0.21724526246414239</v>
      </c>
      <c r="F297" s="430">
        <f>F286+F295</f>
        <v>-1379289.2317076577</v>
      </c>
      <c r="G297" s="430">
        <f t="shared" ref="G297:AC297" si="122">G286+G295</f>
        <v>-5051694.1548352391</v>
      </c>
      <c r="H297" s="430">
        <f t="shared" si="122"/>
        <v>1667538.9884534874</v>
      </c>
      <c r="I297" s="430">
        <f t="shared" si="122"/>
        <v>1613711.650361124</v>
      </c>
      <c r="J297" s="430">
        <f t="shared" si="122"/>
        <v>1561817.8271692565</v>
      </c>
      <c r="K297" s="430">
        <f t="shared" si="122"/>
        <v>1511607.5057654104</v>
      </c>
      <c r="L297" s="430">
        <f t="shared" si="122"/>
        <v>1463057.3412916381</v>
      </c>
      <c r="M297" s="430">
        <f t="shared" si="122"/>
        <v>1416141.014366617</v>
      </c>
      <c r="N297" s="430">
        <f t="shared" si="122"/>
        <v>1370798.9577416098</v>
      </c>
      <c r="O297" s="430">
        <f t="shared" si="122"/>
        <v>1344981.6506124334</v>
      </c>
      <c r="P297" s="430">
        <f t="shared" si="122"/>
        <v>1321977.956644481</v>
      </c>
      <c r="Q297" s="430">
        <f t="shared" si="122"/>
        <v>1299233.9942992099</v>
      </c>
      <c r="R297" s="430">
        <f t="shared" si="122"/>
        <v>1276753.123549615</v>
      </c>
      <c r="S297" s="430">
        <f t="shared" si="122"/>
        <v>1254538.3062749929</v>
      </c>
      <c r="T297" s="430">
        <f t="shared" si="122"/>
        <v>1232592.1262970804</v>
      </c>
      <c r="U297" s="430">
        <f t="shared" si="122"/>
        <v>1210916.8085914084</v>
      </c>
      <c r="V297" s="430">
        <f t="shared" si="122"/>
        <v>1189514.2377048582</v>
      </c>
      <c r="W297" s="430">
        <f t="shared" si="122"/>
        <v>1168385.975409321</v>
      </c>
      <c r="X297" s="430">
        <f t="shared" si="122"/>
        <v>1147533.2776202769</v>
      </c>
      <c r="Y297" s="430">
        <f t="shared" si="122"/>
        <v>1123986.2765494303</v>
      </c>
      <c r="Z297" s="430">
        <f t="shared" si="122"/>
        <v>1101224.1956672652</v>
      </c>
      <c r="AA297" s="430">
        <f t="shared" si="122"/>
        <v>1078896.3806395112</v>
      </c>
      <c r="AB297" s="430">
        <f t="shared" si="122"/>
        <v>1056995.7525857098</v>
      </c>
      <c r="AC297" s="430">
        <f t="shared" si="122"/>
        <v>985967.85728911287</v>
      </c>
    </row>
    <row r="298" spans="1:29" ht="15.75">
      <c r="C298" s="425" t="s">
        <v>186</v>
      </c>
      <c r="D298" s="444">
        <f>SUM(D288:D294)/SUM(D282:D285)</f>
        <v>2.200740501369626</v>
      </c>
    </row>
    <row r="301" spans="1:29" ht="14.25">
      <c r="C301" s="436" t="s">
        <v>619</v>
      </c>
      <c r="D301" s="39"/>
      <c r="E301" s="39"/>
    </row>
    <row r="302" spans="1:29" ht="15.75">
      <c r="C302" s="425" t="s">
        <v>1</v>
      </c>
      <c r="D302" s="442">
        <f>SUM(D303:D306)</f>
        <v>13851.229912864164</v>
      </c>
      <c r="E302" s="39"/>
      <c r="F302" s="39"/>
    </row>
    <row r="303" spans="1:29" ht="15.75">
      <c r="C303" s="427" t="s">
        <v>199</v>
      </c>
      <c r="D303" s="440">
        <f>-SUM(F303:AC303)/1000</f>
        <v>6043.4319606952567</v>
      </c>
      <c r="E303" s="39"/>
      <c r="F303" s="430">
        <f>F261*F$251</f>
        <v>-1071382</v>
      </c>
      <c r="G303" s="430">
        <f t="shared" ref="G303:AC303" si="123">G261*G$251</f>
        <v>-4972049.9606952565</v>
      </c>
      <c r="H303" s="430">
        <f t="shared" si="123"/>
        <v>0</v>
      </c>
      <c r="I303" s="430">
        <f t="shared" si="123"/>
        <v>0</v>
      </c>
      <c r="J303" s="430">
        <f t="shared" si="123"/>
        <v>0</v>
      </c>
      <c r="K303" s="430">
        <f t="shared" si="123"/>
        <v>0</v>
      </c>
      <c r="L303" s="430">
        <f t="shared" si="123"/>
        <v>0</v>
      </c>
      <c r="M303" s="430">
        <f t="shared" si="123"/>
        <v>0</v>
      </c>
      <c r="N303" s="430">
        <f t="shared" si="123"/>
        <v>0</v>
      </c>
      <c r="O303" s="430">
        <f t="shared" si="123"/>
        <v>0</v>
      </c>
      <c r="P303" s="430">
        <f t="shared" si="123"/>
        <v>0</v>
      </c>
      <c r="Q303" s="430">
        <f t="shared" si="123"/>
        <v>0</v>
      </c>
      <c r="R303" s="430">
        <f t="shared" si="123"/>
        <v>0</v>
      </c>
      <c r="S303" s="430">
        <f t="shared" si="123"/>
        <v>0</v>
      </c>
      <c r="T303" s="430">
        <f t="shared" si="123"/>
        <v>0</v>
      </c>
      <c r="U303" s="430">
        <f t="shared" si="123"/>
        <v>0</v>
      </c>
      <c r="V303" s="430">
        <f t="shared" si="123"/>
        <v>0</v>
      </c>
      <c r="W303" s="430">
        <f t="shared" si="123"/>
        <v>0</v>
      </c>
      <c r="X303" s="430">
        <f t="shared" si="123"/>
        <v>0</v>
      </c>
      <c r="Y303" s="430">
        <f t="shared" si="123"/>
        <v>0</v>
      </c>
      <c r="Z303" s="430">
        <f t="shared" si="123"/>
        <v>0</v>
      </c>
      <c r="AA303" s="430">
        <f t="shared" si="123"/>
        <v>0</v>
      </c>
      <c r="AB303" s="430">
        <f t="shared" si="123"/>
        <v>0</v>
      </c>
      <c r="AC303" s="430">
        <f t="shared" si="123"/>
        <v>0</v>
      </c>
    </row>
    <row r="304" spans="1:29" ht="15.75">
      <c r="C304" s="427" t="s">
        <v>200</v>
      </c>
      <c r="D304" s="440">
        <f>-SUM(F304:AC304)/1000</f>
        <v>0</v>
      </c>
      <c r="F304" s="430">
        <f t="shared" ref="F304:AC304" si="124">F262*F$251</f>
        <v>0</v>
      </c>
      <c r="G304" s="430">
        <f t="shared" si="124"/>
        <v>0</v>
      </c>
      <c r="H304" s="430">
        <f t="shared" si="124"/>
        <v>0</v>
      </c>
      <c r="I304" s="430">
        <f t="shared" si="124"/>
        <v>0</v>
      </c>
      <c r="J304" s="430">
        <f t="shared" si="124"/>
        <v>0</v>
      </c>
      <c r="K304" s="430">
        <f t="shared" si="124"/>
        <v>0</v>
      </c>
      <c r="L304" s="430">
        <f t="shared" si="124"/>
        <v>0</v>
      </c>
      <c r="M304" s="430">
        <f t="shared" si="124"/>
        <v>0</v>
      </c>
      <c r="N304" s="430">
        <f t="shared" si="124"/>
        <v>0</v>
      </c>
      <c r="O304" s="430">
        <f t="shared" si="124"/>
        <v>0</v>
      </c>
      <c r="P304" s="430">
        <f t="shared" si="124"/>
        <v>0</v>
      </c>
      <c r="Q304" s="430">
        <f t="shared" si="124"/>
        <v>0</v>
      </c>
      <c r="R304" s="430">
        <f t="shared" si="124"/>
        <v>0</v>
      </c>
      <c r="S304" s="430">
        <f t="shared" si="124"/>
        <v>0</v>
      </c>
      <c r="T304" s="430">
        <f t="shared" si="124"/>
        <v>0</v>
      </c>
      <c r="U304" s="430">
        <f t="shared" si="124"/>
        <v>0</v>
      </c>
      <c r="V304" s="430">
        <f t="shared" si="124"/>
        <v>0</v>
      </c>
      <c r="W304" s="430">
        <f t="shared" si="124"/>
        <v>0</v>
      </c>
      <c r="X304" s="430">
        <f t="shared" si="124"/>
        <v>0</v>
      </c>
      <c r="Y304" s="430">
        <f t="shared" si="124"/>
        <v>0</v>
      </c>
      <c r="Z304" s="430">
        <f t="shared" si="124"/>
        <v>0</v>
      </c>
      <c r="AA304" s="430">
        <f t="shared" si="124"/>
        <v>0</v>
      </c>
      <c r="AB304" s="430">
        <f t="shared" si="124"/>
        <v>0</v>
      </c>
      <c r="AC304" s="430">
        <f t="shared" si="124"/>
        <v>0</v>
      </c>
    </row>
    <row r="305" spans="3:29" ht="15.75">
      <c r="C305" s="428" t="s">
        <v>563</v>
      </c>
      <c r="D305" s="440">
        <f>-SUM(F305:AC305)/1000</f>
        <v>496.62900760814267</v>
      </c>
      <c r="F305" s="430">
        <f t="shared" ref="F305:AC305" si="125">F263*F$251</f>
        <v>-256345.01743821267</v>
      </c>
      <c r="G305" s="430">
        <f t="shared" si="125"/>
        <v>-240283.99016993001</v>
      </c>
      <c r="H305" s="430">
        <f t="shared" si="125"/>
        <v>0</v>
      </c>
      <c r="I305" s="430">
        <f t="shared" si="125"/>
        <v>0</v>
      </c>
      <c r="J305" s="430">
        <f t="shared" si="125"/>
        <v>0</v>
      </c>
      <c r="K305" s="430">
        <f t="shared" si="125"/>
        <v>0</v>
      </c>
      <c r="L305" s="430">
        <f t="shared" si="125"/>
        <v>0</v>
      </c>
      <c r="M305" s="430">
        <f t="shared" si="125"/>
        <v>0</v>
      </c>
      <c r="N305" s="430">
        <f t="shared" si="125"/>
        <v>0</v>
      </c>
      <c r="O305" s="430">
        <f t="shared" si="125"/>
        <v>0</v>
      </c>
      <c r="P305" s="430">
        <f t="shared" si="125"/>
        <v>0</v>
      </c>
      <c r="Q305" s="430">
        <f t="shared" si="125"/>
        <v>0</v>
      </c>
      <c r="R305" s="430">
        <f t="shared" si="125"/>
        <v>0</v>
      </c>
      <c r="S305" s="430">
        <f t="shared" si="125"/>
        <v>0</v>
      </c>
      <c r="T305" s="430">
        <f t="shared" si="125"/>
        <v>0</v>
      </c>
      <c r="U305" s="430">
        <f t="shared" si="125"/>
        <v>0</v>
      </c>
      <c r="V305" s="430">
        <f t="shared" si="125"/>
        <v>0</v>
      </c>
      <c r="W305" s="430">
        <f t="shared" si="125"/>
        <v>0</v>
      </c>
      <c r="X305" s="430">
        <f t="shared" si="125"/>
        <v>0</v>
      </c>
      <c r="Y305" s="430">
        <f t="shared" si="125"/>
        <v>0</v>
      </c>
      <c r="Z305" s="430">
        <f t="shared" si="125"/>
        <v>0</v>
      </c>
      <c r="AA305" s="430">
        <f t="shared" si="125"/>
        <v>0</v>
      </c>
      <c r="AB305" s="430">
        <f t="shared" si="125"/>
        <v>0</v>
      </c>
      <c r="AC305" s="430">
        <f t="shared" si="125"/>
        <v>0</v>
      </c>
    </row>
    <row r="306" spans="3:29" ht="15.75">
      <c r="C306" s="427" t="s">
        <v>201</v>
      </c>
      <c r="D306" s="440">
        <f>-SUM(F306:AC306)/1000</f>
        <v>7311.1689445607653</v>
      </c>
      <c r="F306" s="430">
        <f t="shared" ref="F306:AC306" si="126">F264*F$251</f>
        <v>0</v>
      </c>
      <c r="G306" s="430">
        <f t="shared" si="126"/>
        <v>-482409.52977431368</v>
      </c>
      <c r="H306" s="430">
        <f t="shared" si="126"/>
        <v>-537473.29035233869</v>
      </c>
      <c r="I306" s="430">
        <f t="shared" si="126"/>
        <v>-506033.04388009186</v>
      </c>
      <c r="J306" s="430">
        <f t="shared" si="126"/>
        <v>-476445.94235642272</v>
      </c>
      <c r="K306" s="430">
        <f t="shared" si="126"/>
        <v>-448601.84750035463</v>
      </c>
      <c r="L306" s="430">
        <f t="shared" si="126"/>
        <v>-422397.2255258371</v>
      </c>
      <c r="M306" s="430">
        <f t="shared" si="126"/>
        <v>-397734.74736476946</v>
      </c>
      <c r="N306" s="430">
        <f t="shared" si="126"/>
        <v>-374522.91332428396</v>
      </c>
      <c r="O306" s="430">
        <f t="shared" si="126"/>
        <v>-353754.30743338418</v>
      </c>
      <c r="P306" s="430">
        <f t="shared" si="126"/>
        <v>-334128.32013047423</v>
      </c>
      <c r="Q306" s="430">
        <f t="shared" si="126"/>
        <v>-315582.75889630197</v>
      </c>
      <c r="R306" s="430">
        <f t="shared" si="126"/>
        <v>-298058.76677458343</v>
      </c>
      <c r="S306" s="430">
        <f t="shared" si="126"/>
        <v>-281500.64715747337</v>
      </c>
      <c r="T306" s="430">
        <f t="shared" si="126"/>
        <v>-265855.69749874546</v>
      </c>
      <c r="U306" s="430">
        <f t="shared" si="126"/>
        <v>-251074.05152086419</v>
      </c>
      <c r="V306" s="430">
        <f t="shared" si="126"/>
        <v>-237108.52950155773</v>
      </c>
      <c r="W306" s="430">
        <f t="shared" si="126"/>
        <v>-223914.49624419381</v>
      </c>
      <c r="X306" s="430">
        <f t="shared" si="126"/>
        <v>-211449.72635423529</v>
      </c>
      <c r="Y306" s="430">
        <f t="shared" si="126"/>
        <v>-199674.27646132177</v>
      </c>
      <c r="Z306" s="430">
        <f t="shared" si="126"/>
        <v>-188550.36404311311</v>
      </c>
      <c r="AA306" s="430">
        <f t="shared" si="126"/>
        <v>-178042.25252295032</v>
      </c>
      <c r="AB306" s="430">
        <f t="shared" si="126"/>
        <v>-168116.14232866283</v>
      </c>
      <c r="AC306" s="430">
        <f t="shared" si="126"/>
        <v>-158740.06761449316</v>
      </c>
    </row>
    <row r="307" spans="3:29" ht="15.75">
      <c r="C307" s="426"/>
      <c r="D307" s="441"/>
      <c r="F307" s="438">
        <f>SUM(F303:F306)</f>
        <v>-1327727.0174382126</v>
      </c>
      <c r="G307" s="438">
        <f t="shared" ref="G307:AC307" si="127">SUM(G303:G306)</f>
        <v>-5694743.4806395005</v>
      </c>
      <c r="H307" s="438">
        <f t="shared" si="127"/>
        <v>-537473.29035233869</v>
      </c>
      <c r="I307" s="438">
        <f t="shared" si="127"/>
        <v>-506033.04388009186</v>
      </c>
      <c r="J307" s="438">
        <f t="shared" si="127"/>
        <v>-476445.94235642272</v>
      </c>
      <c r="K307" s="438">
        <f t="shared" si="127"/>
        <v>-448601.84750035463</v>
      </c>
      <c r="L307" s="438">
        <f t="shared" si="127"/>
        <v>-422397.2255258371</v>
      </c>
      <c r="M307" s="438">
        <f t="shared" si="127"/>
        <v>-397734.74736476946</v>
      </c>
      <c r="N307" s="438">
        <f t="shared" si="127"/>
        <v>-374522.91332428396</v>
      </c>
      <c r="O307" s="438">
        <f t="shared" si="127"/>
        <v>-353754.30743338418</v>
      </c>
      <c r="P307" s="438">
        <f t="shared" si="127"/>
        <v>-334128.32013047423</v>
      </c>
      <c r="Q307" s="438">
        <f t="shared" si="127"/>
        <v>-315582.75889630197</v>
      </c>
      <c r="R307" s="438">
        <f t="shared" si="127"/>
        <v>-298058.76677458343</v>
      </c>
      <c r="S307" s="438">
        <f t="shared" si="127"/>
        <v>-281500.64715747337</v>
      </c>
      <c r="T307" s="438">
        <f t="shared" si="127"/>
        <v>-265855.69749874546</v>
      </c>
      <c r="U307" s="438">
        <f t="shared" si="127"/>
        <v>-251074.05152086419</v>
      </c>
      <c r="V307" s="438">
        <f t="shared" si="127"/>
        <v>-237108.52950155773</v>
      </c>
      <c r="W307" s="438">
        <f t="shared" si="127"/>
        <v>-223914.49624419381</v>
      </c>
      <c r="X307" s="438">
        <f t="shared" si="127"/>
        <v>-211449.72635423529</v>
      </c>
      <c r="Y307" s="438">
        <f t="shared" si="127"/>
        <v>-199674.27646132177</v>
      </c>
      <c r="Z307" s="438">
        <f t="shared" si="127"/>
        <v>-188550.36404311311</v>
      </c>
      <c r="AA307" s="438">
        <f t="shared" si="127"/>
        <v>-178042.25252295032</v>
      </c>
      <c r="AB307" s="438">
        <f t="shared" si="127"/>
        <v>-168116.14232866283</v>
      </c>
      <c r="AC307" s="438">
        <f t="shared" si="127"/>
        <v>-158740.06761449316</v>
      </c>
    </row>
    <row r="308" spans="3:29" ht="15.75">
      <c r="C308" s="425" t="s">
        <v>0</v>
      </c>
      <c r="D308" s="442">
        <f>SUM(D309:D315)</f>
        <v>25914.017644854488</v>
      </c>
      <c r="F308" s="430"/>
      <c r="G308" s="430"/>
      <c r="H308" s="430"/>
      <c r="I308" s="430"/>
      <c r="J308" s="430"/>
      <c r="K308" s="430"/>
      <c r="L308" s="430"/>
      <c r="M308" s="430"/>
      <c r="N308" s="430"/>
      <c r="O308" s="430"/>
      <c r="P308" s="430"/>
      <c r="Q308" s="430"/>
      <c r="R308" s="430"/>
      <c r="S308" s="430"/>
      <c r="T308" s="430"/>
      <c r="U308" s="430"/>
      <c r="V308" s="430"/>
      <c r="W308" s="430"/>
      <c r="X308" s="430"/>
      <c r="Y308" s="430"/>
      <c r="Z308" s="430"/>
      <c r="AA308" s="430"/>
      <c r="AB308" s="430"/>
      <c r="AC308" s="430"/>
    </row>
    <row r="309" spans="3:29" ht="15.75">
      <c r="C309" s="427" t="s">
        <v>599</v>
      </c>
      <c r="D309" s="440">
        <f t="shared" ref="D309:D315" si="128">SUM(F309:AC309)/1000</f>
        <v>-2768.6575419802871</v>
      </c>
      <c r="F309" s="430">
        <f>F267*F$251</f>
        <v>0</v>
      </c>
      <c r="G309" s="430">
        <f t="shared" ref="G309:AC309" si="129">G267*G$251</f>
        <v>-52756.932060385043</v>
      </c>
      <c r="H309" s="430">
        <f t="shared" si="129"/>
        <v>-226639.63536514799</v>
      </c>
      <c r="I309" s="430">
        <f t="shared" si="129"/>
        <v>-210642.24793920849</v>
      </c>
      <c r="J309" s="430">
        <f t="shared" si="129"/>
        <v>-195773.7164960276</v>
      </c>
      <c r="K309" s="430">
        <f t="shared" si="129"/>
        <v>-181954.47092756975</v>
      </c>
      <c r="L309" s="430">
        <f t="shared" si="129"/>
        <v>-169110.54042970753</v>
      </c>
      <c r="M309" s="430">
        <f t="shared" si="129"/>
        <v>-157173.16029122344</v>
      </c>
      <c r="N309" s="430">
        <f t="shared" si="129"/>
        <v>-146078.40623296451</v>
      </c>
      <c r="O309" s="430">
        <f t="shared" si="129"/>
        <v>-138047.38170546043</v>
      </c>
      <c r="P309" s="430">
        <f t="shared" si="129"/>
        <v>-130434.08589884195</v>
      </c>
      <c r="Q309" s="430">
        <f t="shared" si="129"/>
        <v>-123218.65747306671</v>
      </c>
      <c r="R309" s="430">
        <f t="shared" si="129"/>
        <v>-116382.02277642742</v>
      </c>
      <c r="S309" s="430">
        <f t="shared" si="129"/>
        <v>-109905.87907633523</v>
      </c>
      <c r="T309" s="430">
        <f t="shared" si="129"/>
        <v>-103772.67654029722</v>
      </c>
      <c r="U309" s="430">
        <f t="shared" si="129"/>
        <v>-97965.599206534913</v>
      </c>
      <c r="V309" s="430">
        <f t="shared" si="129"/>
        <v>-92468.545157472763</v>
      </c>
      <c r="W309" s="430">
        <f t="shared" si="129"/>
        <v>-87266.10608552373</v>
      </c>
      <c r="X309" s="430">
        <f t="shared" si="129"/>
        <v>-82343.546419013102</v>
      </c>
      <c r="Y309" s="430">
        <f t="shared" si="129"/>
        <v>-77686.782156522953</v>
      </c>
      <c r="Z309" s="430">
        <f t="shared" si="129"/>
        <v>-73282.359540230886</v>
      </c>
      <c r="AA309" s="430">
        <f t="shared" si="129"/>
        <v>-69117.433682803399</v>
      </c>
      <c r="AB309" s="430">
        <f t="shared" si="129"/>
        <v>-65179.74724793707</v>
      </c>
      <c r="AC309" s="430">
        <f t="shared" si="129"/>
        <v>-61457.609271584392</v>
      </c>
    </row>
    <row r="310" spans="3:29" ht="15.75">
      <c r="C310" s="427" t="s">
        <v>600</v>
      </c>
      <c r="D310" s="440">
        <f t="shared" si="128"/>
        <v>6912.6537499149717</v>
      </c>
      <c r="F310" s="430">
        <f t="shared" ref="F310:AC310" si="130">F268*F$251</f>
        <v>0</v>
      </c>
      <c r="G310" s="430">
        <f t="shared" si="130"/>
        <v>356076.21507948491</v>
      </c>
      <c r="H310" s="430">
        <f t="shared" si="130"/>
        <v>522517.43647735211</v>
      </c>
      <c r="I310" s="430">
        <f t="shared" si="130"/>
        <v>490262.73776402744</v>
      </c>
      <c r="J310" s="430">
        <f t="shared" si="130"/>
        <v>460021.34096437943</v>
      </c>
      <c r="K310" s="430">
        <f t="shared" si="130"/>
        <v>431666.22247096832</v>
      </c>
      <c r="L310" s="430">
        <f t="shared" si="130"/>
        <v>405078.45426770917</v>
      </c>
      <c r="M310" s="430">
        <f t="shared" si="130"/>
        <v>380146.68315932417</v>
      </c>
      <c r="N310" s="430">
        <f t="shared" si="130"/>
        <v>356766.64378134016</v>
      </c>
      <c r="O310" s="430">
        <f t="shared" si="130"/>
        <v>337289.24038621044</v>
      </c>
      <c r="P310" s="430">
        <f t="shared" si="130"/>
        <v>318854.13997511461</v>
      </c>
      <c r="Q310" s="430">
        <f t="shared" si="130"/>
        <v>301407.16240675171</v>
      </c>
      <c r="R310" s="430">
        <f t="shared" si="130"/>
        <v>284896.82092412445</v>
      </c>
      <c r="S310" s="430">
        <f t="shared" si="130"/>
        <v>269274.19797063357</v>
      </c>
      <c r="T310" s="430">
        <f t="shared" si="130"/>
        <v>254492.82593256261</v>
      </c>
      <c r="U310" s="430">
        <f t="shared" si="130"/>
        <v>240508.57268335496</v>
      </c>
      <c r="V310" s="430">
        <f t="shared" si="130"/>
        <v>227279.53180094736</v>
      </c>
      <c r="W310" s="430">
        <f t="shared" si="130"/>
        <v>214765.91732632901</v>
      </c>
      <c r="X310" s="430">
        <f t="shared" si="130"/>
        <v>202929.96292931645</v>
      </c>
      <c r="Y310" s="430">
        <f t="shared" si="130"/>
        <v>191735.82534617817</v>
      </c>
      <c r="Z310" s="430">
        <f t="shared" si="130"/>
        <v>181149.49195310345</v>
      </c>
      <c r="AA310" s="430">
        <f t="shared" si="130"/>
        <v>171138.69233950559</v>
      </c>
      <c r="AB310" s="430">
        <f t="shared" si="130"/>
        <v>161672.81374570233</v>
      </c>
      <c r="AC310" s="430">
        <f t="shared" si="130"/>
        <v>152722.82023055057</v>
      </c>
    </row>
    <row r="311" spans="3:29" ht="15.75">
      <c r="C311" s="427" t="s">
        <v>202</v>
      </c>
      <c r="D311" s="440">
        <f t="shared" si="128"/>
        <v>4109.6389985706546</v>
      </c>
      <c r="F311" s="430">
        <f t="shared" ref="F311:AC311" si="131">F269*F$251</f>
        <v>0</v>
      </c>
      <c r="G311" s="430">
        <f t="shared" si="131"/>
        <v>304039.82274372352</v>
      </c>
      <c r="H311" s="430">
        <f t="shared" si="131"/>
        <v>293104.91717431525</v>
      </c>
      <c r="I311" s="430">
        <f t="shared" si="131"/>
        <v>277029.71974462905</v>
      </c>
      <c r="J311" s="430">
        <f t="shared" si="131"/>
        <v>261833.1011375293</v>
      </c>
      <c r="K311" s="430">
        <f t="shared" si="131"/>
        <v>247467.3048387579</v>
      </c>
      <c r="L311" s="430">
        <f t="shared" si="131"/>
        <v>233887.14940577079</v>
      </c>
      <c r="M311" s="430">
        <f t="shared" si="131"/>
        <v>221049.89121698865</v>
      </c>
      <c r="N311" s="430">
        <f t="shared" si="131"/>
        <v>208915.09441540099</v>
      </c>
      <c r="O311" s="430">
        <f t="shared" si="131"/>
        <v>197543.07092944087</v>
      </c>
      <c r="P311" s="430">
        <f t="shared" si="131"/>
        <v>186792.10135607456</v>
      </c>
      <c r="Q311" s="430">
        <f t="shared" si="131"/>
        <v>176628.12120736382</v>
      </c>
      <c r="R311" s="430">
        <f t="shared" si="131"/>
        <v>167018.94547170744</v>
      </c>
      <c r="S311" s="430">
        <f t="shared" si="131"/>
        <v>157934.16408022659</v>
      </c>
      <c r="T311" s="430">
        <f t="shared" si="131"/>
        <v>149345.04324963642</v>
      </c>
      <c r="U311" s="430">
        <f t="shared" si="131"/>
        <v>141224.43236665783</v>
      </c>
      <c r="V311" s="430">
        <f t="shared" si="131"/>
        <v>133546.67609844485</v>
      </c>
      <c r="W311" s="430">
        <f t="shared" si="131"/>
        <v>126287.53143177426</v>
      </c>
      <c r="X311" s="430">
        <f t="shared" si="131"/>
        <v>119424.08936093727</v>
      </c>
      <c r="Y311" s="430">
        <f t="shared" si="131"/>
        <v>112934.70096044982</v>
      </c>
      <c r="Z311" s="430">
        <f t="shared" si="131"/>
        <v>106798.90759392404</v>
      </c>
      <c r="AA311" s="430">
        <f t="shared" si="131"/>
        <v>100997.37502477146</v>
      </c>
      <c r="AB311" s="430">
        <f t="shared" si="131"/>
        <v>95511.831207896379</v>
      </c>
      <c r="AC311" s="430">
        <f t="shared" si="131"/>
        <v>90325.007554233453</v>
      </c>
    </row>
    <row r="312" spans="3:29" ht="15.75">
      <c r="C312" s="427" t="s">
        <v>203</v>
      </c>
      <c r="D312" s="440">
        <f t="shared" si="128"/>
        <v>1469.2883247206041</v>
      </c>
      <c r="F312" s="430">
        <f t="shared" ref="F312:AC312" si="132">F270*F$251</f>
        <v>0</v>
      </c>
      <c r="G312" s="430">
        <f t="shared" si="132"/>
        <v>12730.845488688979</v>
      </c>
      <c r="H312" s="430">
        <f t="shared" si="132"/>
        <v>122768.55652137997</v>
      </c>
      <c r="I312" s="430">
        <f t="shared" si="132"/>
        <v>115053.40881168458</v>
      </c>
      <c r="J312" s="430">
        <f t="shared" si="132"/>
        <v>107823.31393674474</v>
      </c>
      <c r="K312" s="430">
        <f t="shared" si="132"/>
        <v>101047.76922305192</v>
      </c>
      <c r="L312" s="430">
        <f t="shared" si="132"/>
        <v>94698.190271570507</v>
      </c>
      <c r="M312" s="430">
        <f t="shared" si="132"/>
        <v>88747.790334645135</v>
      </c>
      <c r="N312" s="430">
        <f t="shared" si="132"/>
        <v>83171.467275578529</v>
      </c>
      <c r="O312" s="430">
        <f t="shared" si="132"/>
        <v>78085.68156556203</v>
      </c>
      <c r="P312" s="430">
        <f t="shared" si="132"/>
        <v>73310.089561258443</v>
      </c>
      <c r="Q312" s="430">
        <f t="shared" si="132"/>
        <v>68825.830904562841</v>
      </c>
      <c r="R312" s="430">
        <f t="shared" si="132"/>
        <v>64615.187645572834</v>
      </c>
      <c r="S312" s="430">
        <f t="shared" si="132"/>
        <v>60661.515360252517</v>
      </c>
      <c r="T312" s="430">
        <f t="shared" si="132"/>
        <v>56949.178398573131</v>
      </c>
      <c r="U312" s="430">
        <f t="shared" si="132"/>
        <v>53463.489017098203</v>
      </c>
      <c r="V312" s="430">
        <f t="shared" si="132"/>
        <v>50190.650164516468</v>
      </c>
      <c r="W312" s="430">
        <f t="shared" si="132"/>
        <v>47117.701702312494</v>
      </c>
      <c r="X312" s="430">
        <f t="shared" si="132"/>
        <v>44232.469855648465</v>
      </c>
      <c r="Y312" s="430">
        <f t="shared" si="132"/>
        <v>40136.932029800621</v>
      </c>
      <c r="Z312" s="430">
        <f t="shared" si="132"/>
        <v>36318.536305644775</v>
      </c>
      <c r="AA312" s="430">
        <f t="shared" si="132"/>
        <v>32828.348102337332</v>
      </c>
      <c r="AB312" s="430">
        <f t="shared" si="132"/>
        <v>29639.744985735022</v>
      </c>
      <c r="AC312" s="430">
        <f t="shared" si="132"/>
        <v>6871.627258384473</v>
      </c>
    </row>
    <row r="313" spans="3:29" ht="15.75">
      <c r="C313" s="427" t="s">
        <v>204</v>
      </c>
      <c r="D313" s="440">
        <f t="shared" si="128"/>
        <v>1279.6247472456971</v>
      </c>
      <c r="F313" s="430">
        <f t="shared" ref="F313:AC313" si="133">F271*F$251</f>
        <v>0</v>
      </c>
      <c r="G313" s="430">
        <f t="shared" si="133"/>
        <v>71150.560298885073</v>
      </c>
      <c r="H313" s="430">
        <f t="shared" si="133"/>
        <v>122129.85098373673</v>
      </c>
      <c r="I313" s="430">
        <f t="shared" si="133"/>
        <v>109754.01107608758</v>
      </c>
      <c r="J313" s="430">
        <f t="shared" si="133"/>
        <v>98609.248744596785</v>
      </c>
      <c r="K313" s="430">
        <f t="shared" si="133"/>
        <v>88437.477724230834</v>
      </c>
      <c r="L313" s="430">
        <f t="shared" si="133"/>
        <v>79183.832273901775</v>
      </c>
      <c r="M313" s="430">
        <f t="shared" si="133"/>
        <v>70792.478647317825</v>
      </c>
      <c r="N313" s="430">
        <f t="shared" si="133"/>
        <v>63185.698135858103</v>
      </c>
      <c r="O313" s="430">
        <f t="shared" si="133"/>
        <v>57620.691842552129</v>
      </c>
      <c r="P313" s="430">
        <f t="shared" si="133"/>
        <v>54092.186844687647</v>
      </c>
      <c r="Q313" s="430">
        <f t="shared" si="133"/>
        <v>50772.480791807815</v>
      </c>
      <c r="R313" s="430">
        <f t="shared" si="133"/>
        <v>47649.73335313765</v>
      </c>
      <c r="S313" s="430">
        <f t="shared" si="133"/>
        <v>44712.736688937235</v>
      </c>
      <c r="T313" s="430">
        <f t="shared" si="133"/>
        <v>41950.884798882376</v>
      </c>
      <c r="U313" s="430">
        <f t="shared" si="133"/>
        <v>39354.1440843987</v>
      </c>
      <c r="V313" s="430">
        <f t="shared" si="133"/>
        <v>36913.025102970678</v>
      </c>
      <c r="W313" s="430">
        <f t="shared" si="133"/>
        <v>34618.555489764993</v>
      </c>
      <c r="X313" s="430">
        <f t="shared" si="133"/>
        <v>32462.254019693122</v>
      </c>
      <c r="Y313" s="430">
        <f t="shared" si="133"/>
        <v>30436.10578124204</v>
      </c>
      <c r="Z313" s="430">
        <f t="shared" si="133"/>
        <v>28752.708410141593</v>
      </c>
      <c r="AA313" s="430">
        <f t="shared" si="133"/>
        <v>27160.519177718947</v>
      </c>
      <c r="AB313" s="430">
        <f t="shared" si="133"/>
        <v>25654.741858493111</v>
      </c>
      <c r="AC313" s="430">
        <f t="shared" si="133"/>
        <v>24230.821116654159</v>
      </c>
    </row>
    <row r="314" spans="3:29" ht="15.75">
      <c r="C314" s="427" t="s">
        <v>601</v>
      </c>
      <c r="D314" s="440">
        <f t="shared" si="128"/>
        <v>17.323391138536138</v>
      </c>
      <c r="F314" s="430">
        <f t="shared" ref="F314:AC314" si="134">F272*F$251</f>
        <v>0</v>
      </c>
      <c r="G314" s="430">
        <f t="shared" si="134"/>
        <v>1301.050737249074</v>
      </c>
      <c r="H314" s="430">
        <f t="shared" si="134"/>
        <v>1250.861011086716</v>
      </c>
      <c r="I314" s="430">
        <f t="shared" si="134"/>
        <v>1180.3584142446125</v>
      </c>
      <c r="J314" s="430">
        <f t="shared" si="134"/>
        <v>1113.8342255732985</v>
      </c>
      <c r="K314" s="430">
        <f t="shared" si="134"/>
        <v>1051.0636312625259</v>
      </c>
      <c r="L314" s="430">
        <f t="shared" si="134"/>
        <v>991.8345426905214</v>
      </c>
      <c r="M314" s="430">
        <f t="shared" si="134"/>
        <v>935.94687470211522</v>
      </c>
      <c r="N314" s="430">
        <f t="shared" si="134"/>
        <v>883.2118649164313</v>
      </c>
      <c r="O314" s="430">
        <f t="shared" si="134"/>
        <v>833.75047639748027</v>
      </c>
      <c r="P314" s="430">
        <f t="shared" si="134"/>
        <v>787.05653078063995</v>
      </c>
      <c r="Q314" s="430">
        <f t="shared" si="134"/>
        <v>742.97536545896719</v>
      </c>
      <c r="R314" s="430">
        <f t="shared" si="134"/>
        <v>701.36094838952533</v>
      </c>
      <c r="S314" s="430">
        <f t="shared" si="134"/>
        <v>662.07539741540052</v>
      </c>
      <c r="T314" s="430">
        <f t="shared" si="134"/>
        <v>624.98852629281532</v>
      </c>
      <c r="U314" s="430">
        <f t="shared" si="134"/>
        <v>589.97741594438276</v>
      </c>
      <c r="V314" s="430">
        <f t="shared" si="134"/>
        <v>556.92600954111026</v>
      </c>
      <c r="W314" s="430">
        <f t="shared" si="134"/>
        <v>525.72473009286387</v>
      </c>
      <c r="X314" s="430">
        <f t="shared" si="134"/>
        <v>496.27011929987395</v>
      </c>
      <c r="Y314" s="430">
        <f t="shared" si="134"/>
        <v>468.46449648672143</v>
      </c>
      <c r="Z314" s="430">
        <f t="shared" si="134"/>
        <v>442.21563650532943</v>
      </c>
      <c r="AA314" s="430">
        <f t="shared" si="134"/>
        <v>417.43646555499322</v>
      </c>
      <c r="AB314" s="430">
        <f t="shared" si="134"/>
        <v>394.04477392560216</v>
      </c>
      <c r="AC314" s="430">
        <f t="shared" si="134"/>
        <v>371.96294472513836</v>
      </c>
    </row>
    <row r="315" spans="3:29" ht="15.75">
      <c r="C315" s="427" t="s">
        <v>205</v>
      </c>
      <c r="D315" s="440">
        <f t="shared" si="128"/>
        <v>14894.145975244313</v>
      </c>
      <c r="F315" s="430">
        <f t="shared" ref="F315:AC315" si="135">F273*F$251</f>
        <v>0</v>
      </c>
      <c r="G315" s="430">
        <f t="shared" si="135"/>
        <v>321144.77024747391</v>
      </c>
      <c r="H315" s="430">
        <f t="shared" si="135"/>
        <v>1189770.6233659922</v>
      </c>
      <c r="I315" s="430">
        <f t="shared" si="135"/>
        <v>1109000.9515293837</v>
      </c>
      <c r="J315" s="430">
        <f t="shared" si="135"/>
        <v>1033733.7117408667</v>
      </c>
      <c r="K315" s="430">
        <f t="shared" si="135"/>
        <v>963593.15698279731</v>
      </c>
      <c r="L315" s="430">
        <f t="shared" si="135"/>
        <v>898229.23707033205</v>
      </c>
      <c r="M315" s="430">
        <f t="shared" si="135"/>
        <v>837315.83992133534</v>
      </c>
      <c r="N315" s="430">
        <f t="shared" si="135"/>
        <v>780549.15322370268</v>
      </c>
      <c r="O315" s="430">
        <f t="shared" si="135"/>
        <v>739292.39249547292</v>
      </c>
      <c r="P315" s="430">
        <f t="shared" si="135"/>
        <v>700111.80771609407</v>
      </c>
      <c r="Q315" s="430">
        <f t="shared" si="135"/>
        <v>662911.27225336502</v>
      </c>
      <c r="R315" s="430">
        <f t="shared" si="135"/>
        <v>627598.40995891741</v>
      </c>
      <c r="S315" s="430">
        <f t="shared" si="135"/>
        <v>594084.51255608595</v>
      </c>
      <c r="T315" s="430">
        <f t="shared" si="135"/>
        <v>562284.45197049854</v>
      </c>
      <c r="U315" s="430">
        <f t="shared" si="135"/>
        <v>532116.58860827948</v>
      </c>
      <c r="V315" s="430">
        <f t="shared" si="135"/>
        <v>503502.67647748784</v>
      </c>
      <c r="W315" s="430">
        <f t="shared" si="135"/>
        <v>476367.76594913629</v>
      </c>
      <c r="X315" s="430">
        <f t="shared" si="135"/>
        <v>450640.1048639582</v>
      </c>
      <c r="Y315" s="430">
        <f t="shared" si="135"/>
        <v>426251.03860929667</v>
      </c>
      <c r="Z315" s="430">
        <f t="shared" si="135"/>
        <v>403134.90971632983</v>
      </c>
      <c r="AA315" s="430">
        <f t="shared" si="135"/>
        <v>381228.95746070729</v>
      </c>
      <c r="AB315" s="430">
        <f t="shared" si="135"/>
        <v>360473.21788892336</v>
      </c>
      <c r="AC315" s="430">
        <f t="shared" si="135"/>
        <v>340810.42463787692</v>
      </c>
    </row>
    <row r="316" spans="3:29" ht="15.75">
      <c r="C316" s="426"/>
      <c r="D316" s="441"/>
      <c r="F316" s="437">
        <f>SUM(F309:F315)</f>
        <v>0</v>
      </c>
      <c r="G316" s="437">
        <f t="shared" ref="G316:AC316" si="136">SUM(G309:G315)</f>
        <v>1013686.3325351204</v>
      </c>
      <c r="H316" s="437">
        <f t="shared" si="136"/>
        <v>2024902.610168715</v>
      </c>
      <c r="I316" s="437">
        <f t="shared" si="136"/>
        <v>1891638.9394008485</v>
      </c>
      <c r="J316" s="437">
        <f t="shared" si="136"/>
        <v>1767360.8342536627</v>
      </c>
      <c r="K316" s="437">
        <f t="shared" si="136"/>
        <v>1651308.5239434992</v>
      </c>
      <c r="L316" s="437">
        <f t="shared" si="136"/>
        <v>1542958.1574022672</v>
      </c>
      <c r="M316" s="437">
        <f t="shared" si="136"/>
        <v>1441815.4698630897</v>
      </c>
      <c r="N316" s="437">
        <f t="shared" si="136"/>
        <v>1347392.8624638324</v>
      </c>
      <c r="O316" s="437">
        <f t="shared" si="136"/>
        <v>1272617.4459901755</v>
      </c>
      <c r="P316" s="437">
        <f t="shared" si="136"/>
        <v>1203513.2960851681</v>
      </c>
      <c r="Q316" s="437">
        <f t="shared" si="136"/>
        <v>1138069.1854562436</v>
      </c>
      <c r="R316" s="437">
        <f t="shared" si="136"/>
        <v>1076098.435525422</v>
      </c>
      <c r="S316" s="437">
        <f t="shared" si="136"/>
        <v>1017423.322977216</v>
      </c>
      <c r="T316" s="437">
        <f t="shared" si="136"/>
        <v>961874.69633614866</v>
      </c>
      <c r="U316" s="437">
        <f t="shared" si="136"/>
        <v>909291.60496919858</v>
      </c>
      <c r="V316" s="437">
        <f t="shared" si="136"/>
        <v>859520.94049643551</v>
      </c>
      <c r="W316" s="437">
        <f t="shared" si="136"/>
        <v>812417.09054388618</v>
      </c>
      <c r="X316" s="437">
        <f t="shared" si="136"/>
        <v>767841.6047298403</v>
      </c>
      <c r="Y316" s="437">
        <f t="shared" si="136"/>
        <v>724276.28506693104</v>
      </c>
      <c r="Z316" s="437">
        <f t="shared" si="136"/>
        <v>683314.41007541819</v>
      </c>
      <c r="AA316" s="437">
        <f t="shared" si="136"/>
        <v>644653.89488779218</v>
      </c>
      <c r="AB316" s="437">
        <f t="shared" si="136"/>
        <v>608166.64721273864</v>
      </c>
      <c r="AC316" s="437">
        <f t="shared" si="136"/>
        <v>553875.05447084038</v>
      </c>
    </row>
    <row r="317" spans="3:29" ht="15.75">
      <c r="C317" s="425" t="s">
        <v>184</v>
      </c>
      <c r="D317" s="442">
        <f>NPV(0.07,F276:AC276)/1000</f>
        <v>12062.787731990324</v>
      </c>
    </row>
    <row r="318" spans="3:29" ht="15.75">
      <c r="C318" s="425" t="s">
        <v>185</v>
      </c>
      <c r="D318" s="443">
        <f>IRR(F318:AC318)</f>
        <v>0.17174076667109031</v>
      </c>
      <c r="F318" s="430">
        <f>F307+F316</f>
        <v>-1327727.0174382126</v>
      </c>
      <c r="G318" s="430">
        <f t="shared" ref="G318:AC318" si="137">G307+G316</f>
        <v>-4681057.1481043799</v>
      </c>
      <c r="H318" s="430">
        <f t="shared" si="137"/>
        <v>1487429.3198163763</v>
      </c>
      <c r="I318" s="430">
        <f t="shared" si="137"/>
        <v>1385605.8955207565</v>
      </c>
      <c r="J318" s="430">
        <f t="shared" si="137"/>
        <v>1290914.89189724</v>
      </c>
      <c r="K318" s="430">
        <f t="shared" si="137"/>
        <v>1202706.6764431447</v>
      </c>
      <c r="L318" s="430">
        <f t="shared" si="137"/>
        <v>1120560.9318764301</v>
      </c>
      <c r="M318" s="430">
        <f t="shared" si="137"/>
        <v>1044080.7224983203</v>
      </c>
      <c r="N318" s="430">
        <f t="shared" si="137"/>
        <v>972869.94913954847</v>
      </c>
      <c r="O318" s="430">
        <f t="shared" si="137"/>
        <v>918863.13855679124</v>
      </c>
      <c r="P318" s="430">
        <f t="shared" si="137"/>
        <v>869384.97595469397</v>
      </c>
      <c r="Q318" s="430">
        <f t="shared" si="137"/>
        <v>822486.42655994161</v>
      </c>
      <c r="R318" s="430">
        <f t="shared" si="137"/>
        <v>778039.66875083861</v>
      </c>
      <c r="S318" s="430">
        <f t="shared" si="137"/>
        <v>735922.67581974261</v>
      </c>
      <c r="T318" s="430">
        <f t="shared" si="137"/>
        <v>696018.99883740325</v>
      </c>
      <c r="U318" s="430">
        <f t="shared" si="137"/>
        <v>658217.55344833434</v>
      </c>
      <c r="V318" s="430">
        <f t="shared" si="137"/>
        <v>622412.41099487781</v>
      </c>
      <c r="W318" s="430">
        <f t="shared" si="137"/>
        <v>588502.59429969243</v>
      </c>
      <c r="X318" s="430">
        <f t="shared" si="137"/>
        <v>556391.87837560498</v>
      </c>
      <c r="Y318" s="430">
        <f t="shared" si="137"/>
        <v>524602.0086056093</v>
      </c>
      <c r="Z318" s="430">
        <f t="shared" si="137"/>
        <v>494764.04603230511</v>
      </c>
      <c r="AA318" s="430">
        <f t="shared" si="137"/>
        <v>466611.64236484189</v>
      </c>
      <c r="AB318" s="430">
        <f t="shared" si="137"/>
        <v>440050.50488407584</v>
      </c>
      <c r="AC318" s="430">
        <f t="shared" si="137"/>
        <v>395134.98685634718</v>
      </c>
    </row>
    <row r="319" spans="3:29" ht="15.75">
      <c r="C319" s="425" t="s">
        <v>186</v>
      </c>
      <c r="D319" s="444">
        <f>SUM(D309:D315)/SUM(D303:D306)</f>
        <v>1.8708820666377903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Z135"/>
  <sheetViews>
    <sheetView topLeftCell="A49" zoomScale="75" zoomScaleNormal="75" workbookViewId="0">
      <selection activeCell="D84" sqref="D84"/>
    </sheetView>
  </sheetViews>
  <sheetFormatPr defaultRowHeight="12.75"/>
  <cols>
    <col min="1" max="1" width="22" customWidth="1"/>
    <col min="2" max="2" width="27.42578125" customWidth="1"/>
    <col min="3" max="3" width="20.85546875" customWidth="1"/>
    <col min="4" max="6" width="14.28515625" customWidth="1"/>
    <col min="7" max="7" width="15.42578125" style="74" customWidth="1"/>
    <col min="8" max="8" width="11.5703125" bestFit="1" customWidth="1"/>
    <col min="9" max="9" width="15.42578125" style="74" customWidth="1"/>
    <col min="10" max="10" width="10.42578125" customWidth="1"/>
    <col min="11" max="11" width="11.140625" bestFit="1" customWidth="1"/>
    <col min="12" max="12" width="10.85546875" bestFit="1" customWidth="1"/>
    <col min="13" max="19" width="11.7109375" customWidth="1"/>
    <col min="20" max="26" width="10.42578125" customWidth="1"/>
  </cols>
  <sheetData>
    <row r="1" spans="1:26">
      <c r="G1"/>
      <c r="I1"/>
    </row>
    <row r="2" spans="1:26">
      <c r="A2" s="3" t="s">
        <v>406</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245</v>
      </c>
      <c r="X3" s="72" t="s">
        <v>246</v>
      </c>
      <c r="Y3" s="72" t="s">
        <v>247</v>
      </c>
      <c r="Z3" s="72" t="s">
        <v>248</v>
      </c>
    </row>
    <row r="4" spans="1:26">
      <c r="A4" s="5" t="s">
        <v>367</v>
      </c>
      <c r="B4" s="53"/>
      <c r="G4"/>
      <c r="I4"/>
    </row>
    <row r="5" spans="1:26">
      <c r="A5" s="70" t="s">
        <v>366</v>
      </c>
      <c r="B5" s="70" t="s">
        <v>366</v>
      </c>
      <c r="D5" s="126"/>
      <c r="E5" s="34">
        <f>E72</f>
        <v>3658013.375127397</v>
      </c>
      <c r="F5" s="34">
        <f t="shared" ref="F5:Z5" si="0">F72</f>
        <v>3632553.6048677638</v>
      </c>
      <c r="G5" s="34">
        <f t="shared" si="0"/>
        <v>3607093.8346081316</v>
      </c>
      <c r="H5" s="34">
        <f t="shared" si="0"/>
        <v>3581634.0643484988</v>
      </c>
      <c r="I5" s="34">
        <f t="shared" si="0"/>
        <v>3556174.2940888666</v>
      </c>
      <c r="J5" s="34">
        <f t="shared" si="0"/>
        <v>3530714.5238292329</v>
      </c>
      <c r="K5" s="34">
        <f t="shared" si="0"/>
        <v>3505254.7535696011</v>
      </c>
      <c r="L5" s="34">
        <f t="shared" si="0"/>
        <v>3556951.6811194094</v>
      </c>
      <c r="M5" s="34">
        <f t="shared" si="0"/>
        <v>3608648.6086692177</v>
      </c>
      <c r="N5" s="34">
        <f t="shared" si="0"/>
        <v>3660345.5362190264</v>
      </c>
      <c r="O5" s="34">
        <f t="shared" si="0"/>
        <v>3712042.4637688356</v>
      </c>
      <c r="P5" s="34">
        <f t="shared" si="0"/>
        <v>3763739.3913186439</v>
      </c>
      <c r="Q5" s="34">
        <f t="shared" si="0"/>
        <v>3815436.3188684522</v>
      </c>
      <c r="R5" s="34">
        <f t="shared" si="0"/>
        <v>3867133.2464182614</v>
      </c>
      <c r="S5" s="34">
        <f t="shared" si="0"/>
        <v>3918830.1739680697</v>
      </c>
      <c r="T5" s="34">
        <f t="shared" si="0"/>
        <v>3970527.1015178785</v>
      </c>
      <c r="U5" s="34">
        <f t="shared" si="0"/>
        <v>4022224.0290676872</v>
      </c>
      <c r="V5" s="34">
        <f t="shared" si="0"/>
        <v>4073920.9566174964</v>
      </c>
      <c r="W5" s="34">
        <f t="shared" si="0"/>
        <v>4125617.8841673052</v>
      </c>
      <c r="X5" s="34">
        <f t="shared" si="0"/>
        <v>4177314.811717113</v>
      </c>
      <c r="Y5" s="34">
        <f t="shared" si="0"/>
        <v>4229011.7392669227</v>
      </c>
      <c r="Z5" s="34">
        <f t="shared" si="0"/>
        <v>4280708.6668167301</v>
      </c>
    </row>
    <row r="6" spans="1:26">
      <c r="A6" s="70" t="s">
        <v>424</v>
      </c>
      <c r="B6" s="54" t="s">
        <v>425</v>
      </c>
      <c r="E6" s="208">
        <f>E74</f>
        <v>36580.13375127397</v>
      </c>
      <c r="F6" s="208">
        <f t="shared" ref="F6:Z6" si="1">F74</f>
        <v>36325.536048677641</v>
      </c>
      <c r="G6" s="208">
        <f t="shared" si="1"/>
        <v>36070.938346081319</v>
      </c>
      <c r="H6" s="208">
        <f t="shared" si="1"/>
        <v>35816.340643484989</v>
      </c>
      <c r="I6" s="208">
        <f t="shared" si="1"/>
        <v>35561.742940888667</v>
      </c>
      <c r="J6" s="208">
        <f t="shared" si="1"/>
        <v>35307.145238292331</v>
      </c>
      <c r="K6" s="208">
        <f t="shared" si="1"/>
        <v>35052.547535696009</v>
      </c>
      <c r="L6" s="208">
        <f t="shared" si="1"/>
        <v>35569.516811194095</v>
      </c>
      <c r="M6" s="208">
        <f t="shared" si="1"/>
        <v>36086.486086692181</v>
      </c>
      <c r="N6" s="208">
        <f t="shared" si="1"/>
        <v>36603.455362190267</v>
      </c>
      <c r="O6" s="208">
        <f t="shared" si="1"/>
        <v>37120.42463768836</v>
      </c>
      <c r="P6" s="208">
        <f t="shared" si="1"/>
        <v>37637.393913186439</v>
      </c>
      <c r="Q6" s="208">
        <f t="shared" si="1"/>
        <v>38154.363188684525</v>
      </c>
      <c r="R6" s="208">
        <f t="shared" si="1"/>
        <v>38671.332464182618</v>
      </c>
      <c r="S6" s="208">
        <f t="shared" si="1"/>
        <v>39188.301739680697</v>
      </c>
      <c r="T6" s="208">
        <f t="shared" si="1"/>
        <v>39705.271015178783</v>
      </c>
      <c r="U6" s="208">
        <f t="shared" si="1"/>
        <v>40222.240290676877</v>
      </c>
      <c r="V6" s="208">
        <f t="shared" si="1"/>
        <v>40739.209566174963</v>
      </c>
      <c r="W6" s="208">
        <f t="shared" si="1"/>
        <v>41256.178841673056</v>
      </c>
      <c r="X6" s="208">
        <f t="shared" si="1"/>
        <v>41773.148117171128</v>
      </c>
      <c r="Y6" s="208">
        <f t="shared" si="1"/>
        <v>42290.117392669228</v>
      </c>
      <c r="Z6" s="208">
        <f t="shared" si="1"/>
        <v>42807.0866681673</v>
      </c>
    </row>
    <row r="7" spans="1:26">
      <c r="A7" s="70"/>
      <c r="B7" s="78" t="s">
        <v>418</v>
      </c>
      <c r="E7" s="208">
        <f>E75</f>
        <v>36580.13375127397</v>
      </c>
      <c r="F7" s="208">
        <f t="shared" ref="F7:Z7" si="2">F75</f>
        <v>36325.536048677641</v>
      </c>
      <c r="G7" s="208">
        <f t="shared" si="2"/>
        <v>36070.938346081319</v>
      </c>
      <c r="H7" s="208">
        <f t="shared" si="2"/>
        <v>35816.340643484989</v>
      </c>
      <c r="I7" s="208">
        <f t="shared" si="2"/>
        <v>35561.742940888667</v>
      </c>
      <c r="J7" s="208">
        <f t="shared" si="2"/>
        <v>35307.145238292331</v>
      </c>
      <c r="K7" s="208">
        <f t="shared" si="2"/>
        <v>35052.547535696009</v>
      </c>
      <c r="L7" s="208">
        <f t="shared" si="2"/>
        <v>35569.516811194095</v>
      </c>
      <c r="M7" s="208">
        <f t="shared" si="2"/>
        <v>36086.486086692181</v>
      </c>
      <c r="N7" s="208">
        <f t="shared" si="2"/>
        <v>36603.455362190267</v>
      </c>
      <c r="O7" s="208">
        <f t="shared" si="2"/>
        <v>37120.42463768836</v>
      </c>
      <c r="P7" s="208">
        <f t="shared" si="2"/>
        <v>37637.393913186439</v>
      </c>
      <c r="Q7" s="208">
        <f t="shared" si="2"/>
        <v>38154.363188684525</v>
      </c>
      <c r="R7" s="208">
        <f t="shared" si="2"/>
        <v>38671.332464182618</v>
      </c>
      <c r="S7" s="208">
        <f t="shared" si="2"/>
        <v>39188.301739680697</v>
      </c>
      <c r="T7" s="208">
        <f t="shared" si="2"/>
        <v>39705.271015178783</v>
      </c>
      <c r="U7" s="208">
        <f t="shared" si="2"/>
        <v>40222.240290676877</v>
      </c>
      <c r="V7" s="208">
        <f t="shared" si="2"/>
        <v>40739.209566174963</v>
      </c>
      <c r="W7" s="208">
        <f t="shared" si="2"/>
        <v>41256.178841673056</v>
      </c>
      <c r="X7" s="208">
        <f t="shared" si="2"/>
        <v>41773.148117171128</v>
      </c>
      <c r="Y7" s="208">
        <f t="shared" si="2"/>
        <v>42290.117392669228</v>
      </c>
      <c r="Z7" s="208">
        <f t="shared" si="2"/>
        <v>42807.0866681673</v>
      </c>
    </row>
    <row r="8" spans="1:26">
      <c r="A8" s="70"/>
      <c r="B8" s="53"/>
      <c r="G8"/>
      <c r="I8"/>
    </row>
    <row r="9" spans="1:26">
      <c r="A9" s="5" t="s">
        <v>277</v>
      </c>
      <c r="B9" s="53"/>
      <c r="G9"/>
      <c r="I9"/>
    </row>
    <row r="10" spans="1:26">
      <c r="A10" s="70" t="s">
        <v>366</v>
      </c>
      <c r="B10" s="70" t="s">
        <v>366</v>
      </c>
      <c r="D10" s="34"/>
      <c r="E10" s="34">
        <f>E79</f>
        <v>42712.657827653478</v>
      </c>
      <c r="F10" s="34">
        <f t="shared" ref="F10:Z10" si="3">F79</f>
        <v>42415.377762232034</v>
      </c>
      <c r="G10" s="34">
        <f t="shared" si="3"/>
        <v>42118.097696810604</v>
      </c>
      <c r="H10" s="34">
        <f t="shared" si="3"/>
        <v>41820.817631389167</v>
      </c>
      <c r="I10" s="34">
        <f t="shared" si="3"/>
        <v>41523.537565967737</v>
      </c>
      <c r="J10" s="34">
        <f t="shared" si="3"/>
        <v>41226.2575005463</v>
      </c>
      <c r="K10" s="34">
        <f t="shared" si="3"/>
        <v>40928.977435124863</v>
      </c>
      <c r="L10" s="34">
        <f t="shared" si="3"/>
        <v>41532.614696866447</v>
      </c>
      <c r="M10" s="34">
        <f t="shared" si="3"/>
        <v>42136.251958608016</v>
      </c>
      <c r="N10" s="34">
        <f t="shared" si="3"/>
        <v>42739.8892203496</v>
      </c>
      <c r="O10" s="34">
        <f t="shared" si="3"/>
        <v>43343.526482091176</v>
      </c>
      <c r="P10" s="34">
        <f t="shared" si="3"/>
        <v>43947.163743832745</v>
      </c>
      <c r="Q10" s="34">
        <f t="shared" si="3"/>
        <v>44550.801005574322</v>
      </c>
      <c r="R10" s="34">
        <f t="shared" si="3"/>
        <v>45154.438267315905</v>
      </c>
      <c r="S10" s="34">
        <f t="shared" si="3"/>
        <v>45758.075529057489</v>
      </c>
      <c r="T10" s="34">
        <f t="shared" si="3"/>
        <v>46361.712790799065</v>
      </c>
      <c r="U10" s="34">
        <f t="shared" si="3"/>
        <v>46965.350052540649</v>
      </c>
      <c r="V10" s="34">
        <f t="shared" si="3"/>
        <v>47568.987314282233</v>
      </c>
      <c r="W10" s="34">
        <f t="shared" si="3"/>
        <v>48172.624576023794</v>
      </c>
      <c r="X10" s="34">
        <f t="shared" si="3"/>
        <v>48776.261837765371</v>
      </c>
      <c r="Y10" s="34">
        <f t="shared" si="3"/>
        <v>49379.899099506954</v>
      </c>
      <c r="Z10" s="34">
        <f t="shared" si="3"/>
        <v>49983.536361248531</v>
      </c>
    </row>
    <row r="11" spans="1:26">
      <c r="A11" s="70" t="s">
        <v>415</v>
      </c>
      <c r="B11" s="54" t="s">
        <v>433</v>
      </c>
      <c r="E11" s="34">
        <f>E81</f>
        <v>1281.3797348296043</v>
      </c>
      <c r="F11" s="34">
        <f t="shared" ref="F11:Z11" si="4">F81</f>
        <v>1272.4613328669609</v>
      </c>
      <c r="G11" s="34">
        <f t="shared" si="4"/>
        <v>1263.5429309043182</v>
      </c>
      <c r="H11" s="34">
        <f t="shared" si="4"/>
        <v>1254.624528941675</v>
      </c>
      <c r="I11" s="34">
        <f t="shared" si="4"/>
        <v>1245.706126979032</v>
      </c>
      <c r="J11" s="34">
        <f t="shared" si="4"/>
        <v>1236.787725016389</v>
      </c>
      <c r="K11" s="34">
        <f t="shared" si="4"/>
        <v>1227.8693230537458</v>
      </c>
      <c r="L11" s="34">
        <f t="shared" si="4"/>
        <v>1245.9784409059935</v>
      </c>
      <c r="M11" s="34">
        <f t="shared" si="4"/>
        <v>1264.0875587582404</v>
      </c>
      <c r="N11" s="34">
        <f t="shared" si="4"/>
        <v>1282.1966766104879</v>
      </c>
      <c r="O11" s="34">
        <f t="shared" si="4"/>
        <v>1300.3057944627353</v>
      </c>
      <c r="P11" s="34">
        <f t="shared" si="4"/>
        <v>1318.4149123149823</v>
      </c>
      <c r="Q11" s="34">
        <f t="shared" si="4"/>
        <v>1336.5240301672295</v>
      </c>
      <c r="R11" s="34">
        <f t="shared" si="4"/>
        <v>1354.6331480194772</v>
      </c>
      <c r="S11" s="34">
        <f t="shared" si="4"/>
        <v>1372.7422658717246</v>
      </c>
      <c r="T11" s="34">
        <f t="shared" si="4"/>
        <v>1390.8513837239718</v>
      </c>
      <c r="U11" s="34">
        <f t="shared" si="4"/>
        <v>1408.9605015762195</v>
      </c>
      <c r="V11" s="34">
        <f t="shared" si="4"/>
        <v>1427.0696194284669</v>
      </c>
      <c r="W11" s="34">
        <f t="shared" si="4"/>
        <v>1445.1787372807137</v>
      </c>
      <c r="X11" s="34">
        <f t="shared" si="4"/>
        <v>1463.2878551329611</v>
      </c>
      <c r="Y11" s="34">
        <f t="shared" si="4"/>
        <v>1481.3969729852085</v>
      </c>
      <c r="Z11" s="34">
        <f t="shared" si="4"/>
        <v>1499.5060908374558</v>
      </c>
    </row>
    <row r="12" spans="1:26">
      <c r="A12" s="70"/>
      <c r="B12" s="78" t="s">
        <v>427</v>
      </c>
      <c r="E12" s="208">
        <f>E82</f>
        <v>1281.3797348296043</v>
      </c>
      <c r="F12" s="208">
        <f t="shared" ref="F12:Z12" si="5">F82</f>
        <v>1272.4613328669609</v>
      </c>
      <c r="G12" s="208">
        <f t="shared" si="5"/>
        <v>1263.5429309043182</v>
      </c>
      <c r="H12" s="208">
        <f t="shared" si="5"/>
        <v>1254.624528941675</v>
      </c>
      <c r="I12" s="208">
        <f t="shared" si="5"/>
        <v>1245.706126979032</v>
      </c>
      <c r="J12" s="208">
        <f t="shared" si="5"/>
        <v>1236.787725016389</v>
      </c>
      <c r="K12" s="208">
        <f t="shared" si="5"/>
        <v>1227.8693230537458</v>
      </c>
      <c r="L12" s="208">
        <f t="shared" si="5"/>
        <v>1245.9784409059935</v>
      </c>
      <c r="M12" s="208">
        <f t="shared" si="5"/>
        <v>1264.0875587582404</v>
      </c>
      <c r="N12" s="208">
        <f t="shared" si="5"/>
        <v>1282.1966766104879</v>
      </c>
      <c r="O12" s="208">
        <f t="shared" si="5"/>
        <v>1300.3057944627353</v>
      </c>
      <c r="P12" s="208">
        <f t="shared" si="5"/>
        <v>1318.4149123149823</v>
      </c>
      <c r="Q12" s="208">
        <f t="shared" si="5"/>
        <v>1336.5240301672295</v>
      </c>
      <c r="R12" s="208">
        <f t="shared" si="5"/>
        <v>1354.6331480194772</v>
      </c>
      <c r="S12" s="208">
        <f t="shared" si="5"/>
        <v>1372.7422658717246</v>
      </c>
      <c r="T12" s="208">
        <f t="shared" si="5"/>
        <v>1390.8513837239718</v>
      </c>
      <c r="U12" s="208">
        <f t="shared" si="5"/>
        <v>1408.9605015762195</v>
      </c>
      <c r="V12" s="208">
        <f t="shared" si="5"/>
        <v>1427.0696194284669</v>
      </c>
      <c r="W12" s="208">
        <f t="shared" si="5"/>
        <v>1445.1787372807137</v>
      </c>
      <c r="X12" s="208">
        <f t="shared" si="5"/>
        <v>1463.2878551329611</v>
      </c>
      <c r="Y12" s="208">
        <f t="shared" si="5"/>
        <v>1481.3969729852085</v>
      </c>
      <c r="Z12" s="208">
        <f t="shared" si="5"/>
        <v>1499.5060908374558</v>
      </c>
    </row>
    <row r="13" spans="1:26">
      <c r="A13" s="70"/>
      <c r="B13" s="48"/>
      <c r="G13"/>
      <c r="I13"/>
    </row>
    <row r="14" spans="1:26">
      <c r="A14" s="5" t="s">
        <v>413</v>
      </c>
      <c r="B14" s="53"/>
      <c r="G14"/>
      <c r="I14"/>
    </row>
    <row r="15" spans="1:26">
      <c r="A15" s="70" t="s">
        <v>415</v>
      </c>
      <c r="B15" s="47" t="s">
        <v>95</v>
      </c>
      <c r="D15" s="34">
        <f>D88</f>
        <v>18250</v>
      </c>
      <c r="E15" s="34">
        <f t="shared" ref="E15:Z15" si="6">E88</f>
        <v>18432.5</v>
      </c>
      <c r="F15" s="34">
        <f t="shared" si="6"/>
        <v>18616.825000000001</v>
      </c>
      <c r="G15" s="34">
        <f t="shared" si="6"/>
        <v>18802.993250000003</v>
      </c>
      <c r="H15" s="34">
        <f t="shared" si="6"/>
        <v>18991.023182500001</v>
      </c>
      <c r="I15" s="34">
        <f t="shared" si="6"/>
        <v>19180.933414324998</v>
      </c>
      <c r="J15" s="34">
        <f t="shared" si="6"/>
        <v>19372.742748468252</v>
      </c>
      <c r="K15" s="34">
        <f t="shared" si="6"/>
        <v>19566.470175952938</v>
      </c>
      <c r="L15" s="34">
        <f t="shared" si="6"/>
        <v>19762.134877712466</v>
      </c>
      <c r="M15" s="34">
        <f t="shared" si="6"/>
        <v>19959.75622648959</v>
      </c>
      <c r="N15" s="34">
        <f t="shared" si="6"/>
        <v>20159.353788754484</v>
      </c>
      <c r="O15" s="34">
        <f t="shared" si="6"/>
        <v>20360.947326642028</v>
      </c>
      <c r="P15" s="34">
        <f t="shared" si="6"/>
        <v>20564.556799908452</v>
      </c>
      <c r="Q15" s="34">
        <f t="shared" si="6"/>
        <v>20770.202367907536</v>
      </c>
      <c r="R15" s="34">
        <f t="shared" si="6"/>
        <v>20977.90439158661</v>
      </c>
      <c r="S15" s="34">
        <f t="shared" si="6"/>
        <v>21187.683435502477</v>
      </c>
      <c r="T15" s="34">
        <f t="shared" si="6"/>
        <v>21399.560269857502</v>
      </c>
      <c r="U15" s="34">
        <f t="shared" si="6"/>
        <v>21613.555872556077</v>
      </c>
      <c r="V15" s="34">
        <f t="shared" si="6"/>
        <v>21829.691431281637</v>
      </c>
      <c r="W15" s="34">
        <f t="shared" si="6"/>
        <v>22047.988345594455</v>
      </c>
      <c r="X15" s="34">
        <f t="shared" si="6"/>
        <v>22268.468229050399</v>
      </c>
      <c r="Y15" s="34">
        <f t="shared" si="6"/>
        <v>22491.152911340905</v>
      </c>
      <c r="Z15" s="34">
        <f t="shared" si="6"/>
        <v>22716.064440454316</v>
      </c>
    </row>
    <row r="16" spans="1:26">
      <c r="A16" s="70"/>
      <c r="B16" s="78" t="s">
        <v>510</v>
      </c>
      <c r="D16" s="34">
        <f t="shared" ref="D16:Z16" si="7">D89</f>
        <v>27375</v>
      </c>
      <c r="E16" s="34">
        <f t="shared" si="7"/>
        <v>27648.75</v>
      </c>
      <c r="F16" s="34">
        <f t="shared" si="7"/>
        <v>27925.237499999999</v>
      </c>
      <c r="G16" s="34">
        <f t="shared" si="7"/>
        <v>28204.489875000003</v>
      </c>
      <c r="H16" s="34">
        <f t="shared" si="7"/>
        <v>28486.534773749998</v>
      </c>
      <c r="I16" s="34">
        <f t="shared" si="7"/>
        <v>28771.400121487499</v>
      </c>
      <c r="J16" s="34">
        <f t="shared" si="7"/>
        <v>29059.11412270238</v>
      </c>
      <c r="K16" s="34">
        <f t="shared" si="7"/>
        <v>29349.705263929402</v>
      </c>
      <c r="L16" s="34">
        <f t="shared" si="7"/>
        <v>29643.202316568691</v>
      </c>
      <c r="M16" s="34">
        <f t="shared" si="7"/>
        <v>29939.634339734381</v>
      </c>
      <c r="N16" s="34">
        <f t="shared" si="7"/>
        <v>30239.030683131725</v>
      </c>
      <c r="O16" s="34">
        <f t="shared" si="7"/>
        <v>30541.42098996304</v>
      </c>
      <c r="P16" s="34">
        <f t="shared" si="7"/>
        <v>30846.835199862675</v>
      </c>
      <c r="Q16" s="34">
        <f t="shared" si="7"/>
        <v>31155.303551861296</v>
      </c>
      <c r="R16" s="34">
        <f t="shared" si="7"/>
        <v>31466.856587379913</v>
      </c>
      <c r="S16" s="34">
        <f t="shared" si="7"/>
        <v>31781.525153253715</v>
      </c>
      <c r="T16" s="34">
        <f t="shared" si="7"/>
        <v>32099.34040478625</v>
      </c>
      <c r="U16" s="34">
        <f t="shared" si="7"/>
        <v>32420.333808834112</v>
      </c>
      <c r="V16" s="34">
        <f t="shared" si="7"/>
        <v>32744.537146922448</v>
      </c>
      <c r="W16" s="34">
        <f t="shared" si="7"/>
        <v>33071.982518391676</v>
      </c>
      <c r="X16" s="34">
        <f t="shared" si="7"/>
        <v>33402.702343575598</v>
      </c>
      <c r="Y16" s="34">
        <f t="shared" si="7"/>
        <v>33736.729367011358</v>
      </c>
      <c r="Z16" s="34">
        <f t="shared" si="7"/>
        <v>34074.096660681469</v>
      </c>
    </row>
    <row r="17" spans="1:26">
      <c r="A17" s="70"/>
      <c r="B17" s="47" t="s">
        <v>148</v>
      </c>
      <c r="D17" s="34">
        <f t="shared" ref="D17:Z17" si="8">D90</f>
        <v>27375</v>
      </c>
      <c r="E17" s="34">
        <f t="shared" si="8"/>
        <v>27648.75</v>
      </c>
      <c r="F17" s="34">
        <f t="shared" si="8"/>
        <v>27925.237499999999</v>
      </c>
      <c r="G17" s="34">
        <f t="shared" si="8"/>
        <v>28204.489875000003</v>
      </c>
      <c r="H17" s="34">
        <f t="shared" si="8"/>
        <v>28486.534773749998</v>
      </c>
      <c r="I17" s="34">
        <f t="shared" si="8"/>
        <v>28771.400121487499</v>
      </c>
      <c r="J17" s="34">
        <f t="shared" si="8"/>
        <v>29059.11412270238</v>
      </c>
      <c r="K17" s="34">
        <f t="shared" si="8"/>
        <v>29349.705263929402</v>
      </c>
      <c r="L17" s="34">
        <f t="shared" si="8"/>
        <v>29643.202316568691</v>
      </c>
      <c r="M17" s="34">
        <f t="shared" si="8"/>
        <v>29939.634339734381</v>
      </c>
      <c r="N17" s="34">
        <f t="shared" si="8"/>
        <v>30239.030683131725</v>
      </c>
      <c r="O17" s="34">
        <f t="shared" si="8"/>
        <v>30541.42098996304</v>
      </c>
      <c r="P17" s="34">
        <f t="shared" si="8"/>
        <v>30846.835199862675</v>
      </c>
      <c r="Q17" s="34">
        <f t="shared" si="8"/>
        <v>31155.303551861296</v>
      </c>
      <c r="R17" s="34">
        <f t="shared" si="8"/>
        <v>31466.856587379913</v>
      </c>
      <c r="S17" s="34">
        <f t="shared" si="8"/>
        <v>31781.525153253715</v>
      </c>
      <c r="T17" s="34">
        <f t="shared" si="8"/>
        <v>32099.34040478625</v>
      </c>
      <c r="U17" s="34">
        <f t="shared" si="8"/>
        <v>32420.333808834112</v>
      </c>
      <c r="V17" s="34">
        <f t="shared" si="8"/>
        <v>32744.537146922448</v>
      </c>
      <c r="W17" s="34">
        <f t="shared" si="8"/>
        <v>33071.982518391676</v>
      </c>
      <c r="X17" s="34">
        <f t="shared" si="8"/>
        <v>33402.702343575598</v>
      </c>
      <c r="Y17" s="34">
        <f t="shared" si="8"/>
        <v>33736.729367011358</v>
      </c>
      <c r="Z17" s="34">
        <f t="shared" si="8"/>
        <v>34074.096660681469</v>
      </c>
    </row>
    <row r="18" spans="1:26">
      <c r="A18" s="70"/>
      <c r="B18" s="78" t="s">
        <v>437</v>
      </c>
      <c r="D18" s="34">
        <f t="shared" ref="D18:Z18" si="9">D91</f>
        <v>18250</v>
      </c>
      <c r="E18" s="34">
        <f t="shared" si="9"/>
        <v>18432.5</v>
      </c>
      <c r="F18" s="34">
        <f t="shared" si="9"/>
        <v>18616.825000000001</v>
      </c>
      <c r="G18" s="34">
        <f t="shared" si="9"/>
        <v>18802.993250000003</v>
      </c>
      <c r="H18" s="34">
        <f t="shared" si="9"/>
        <v>18991.023182500001</v>
      </c>
      <c r="I18" s="34">
        <f t="shared" si="9"/>
        <v>19180.933414324998</v>
      </c>
      <c r="J18" s="34">
        <f t="shared" si="9"/>
        <v>19372.742748468252</v>
      </c>
      <c r="K18" s="34">
        <f t="shared" si="9"/>
        <v>19566.470175952938</v>
      </c>
      <c r="L18" s="34">
        <f t="shared" si="9"/>
        <v>19762.134877712466</v>
      </c>
      <c r="M18" s="34">
        <f t="shared" si="9"/>
        <v>19959.75622648959</v>
      </c>
      <c r="N18" s="34">
        <f t="shared" si="9"/>
        <v>20159.353788754484</v>
      </c>
      <c r="O18" s="34">
        <f t="shared" si="9"/>
        <v>20360.947326642028</v>
      </c>
      <c r="P18" s="34">
        <f t="shared" si="9"/>
        <v>20564.556799908452</v>
      </c>
      <c r="Q18" s="34">
        <f t="shared" si="9"/>
        <v>20770.202367907536</v>
      </c>
      <c r="R18" s="34">
        <f t="shared" si="9"/>
        <v>20977.90439158661</v>
      </c>
      <c r="S18" s="34">
        <f t="shared" si="9"/>
        <v>21187.683435502477</v>
      </c>
      <c r="T18" s="34">
        <f t="shared" si="9"/>
        <v>21399.560269857502</v>
      </c>
      <c r="U18" s="34">
        <f t="shared" si="9"/>
        <v>21613.555872556077</v>
      </c>
      <c r="V18" s="34">
        <f t="shared" si="9"/>
        <v>21829.691431281637</v>
      </c>
      <c r="W18" s="34">
        <f t="shared" si="9"/>
        <v>22047.988345594455</v>
      </c>
      <c r="X18" s="34">
        <f t="shared" si="9"/>
        <v>22268.468229050399</v>
      </c>
      <c r="Y18" s="34">
        <f t="shared" si="9"/>
        <v>22491.152911340905</v>
      </c>
      <c r="Z18" s="34">
        <f t="shared" si="9"/>
        <v>22716.064440454316</v>
      </c>
    </row>
    <row r="19" spans="1:26">
      <c r="A19" s="70"/>
      <c r="B19" s="47" t="s">
        <v>152</v>
      </c>
      <c r="D19" s="34">
        <f t="shared" ref="D19:Z19" si="10">D92</f>
        <v>18250</v>
      </c>
      <c r="E19" s="34">
        <f t="shared" si="10"/>
        <v>18432.5</v>
      </c>
      <c r="F19" s="34">
        <f t="shared" si="10"/>
        <v>18616.825000000001</v>
      </c>
      <c r="G19" s="34">
        <f t="shared" si="10"/>
        <v>18802.993250000003</v>
      </c>
      <c r="H19" s="34">
        <f t="shared" si="10"/>
        <v>18991.023182500001</v>
      </c>
      <c r="I19" s="34">
        <f t="shared" si="10"/>
        <v>19180.933414324998</v>
      </c>
      <c r="J19" s="34">
        <f t="shared" si="10"/>
        <v>19372.742748468252</v>
      </c>
      <c r="K19" s="34">
        <f t="shared" si="10"/>
        <v>19566.470175952938</v>
      </c>
      <c r="L19" s="34">
        <f t="shared" si="10"/>
        <v>19762.134877712466</v>
      </c>
      <c r="M19" s="34">
        <f t="shared" si="10"/>
        <v>19959.75622648959</v>
      </c>
      <c r="N19" s="34">
        <f t="shared" si="10"/>
        <v>20159.353788754484</v>
      </c>
      <c r="O19" s="34">
        <f t="shared" si="10"/>
        <v>20360.947326642028</v>
      </c>
      <c r="P19" s="34">
        <f t="shared" si="10"/>
        <v>20564.556799908452</v>
      </c>
      <c r="Q19" s="34">
        <f t="shared" si="10"/>
        <v>20770.202367907536</v>
      </c>
      <c r="R19" s="34">
        <f t="shared" si="10"/>
        <v>20977.90439158661</v>
      </c>
      <c r="S19" s="34">
        <f t="shared" si="10"/>
        <v>21187.683435502477</v>
      </c>
      <c r="T19" s="34">
        <f t="shared" si="10"/>
        <v>21399.560269857502</v>
      </c>
      <c r="U19" s="34">
        <f t="shared" si="10"/>
        <v>21613.555872556077</v>
      </c>
      <c r="V19" s="34">
        <f t="shared" si="10"/>
        <v>21829.691431281637</v>
      </c>
      <c r="W19" s="34">
        <f t="shared" si="10"/>
        <v>22047.988345594455</v>
      </c>
      <c r="X19" s="34">
        <f t="shared" si="10"/>
        <v>22268.468229050399</v>
      </c>
      <c r="Y19" s="34">
        <f t="shared" si="10"/>
        <v>22491.152911340905</v>
      </c>
      <c r="Z19" s="34">
        <f t="shared" si="10"/>
        <v>22716.064440454316</v>
      </c>
    </row>
    <row r="20" spans="1:26">
      <c r="A20" s="70"/>
      <c r="B20" s="78" t="s">
        <v>442</v>
      </c>
      <c r="D20" s="34">
        <f t="shared" ref="D20:Z20" si="11">D93</f>
        <v>36500</v>
      </c>
      <c r="E20" s="34">
        <f t="shared" si="11"/>
        <v>36865</v>
      </c>
      <c r="F20" s="34">
        <f t="shared" si="11"/>
        <v>37233.65</v>
      </c>
      <c r="G20" s="34">
        <f t="shared" si="11"/>
        <v>37605.986500000006</v>
      </c>
      <c r="H20" s="34">
        <f t="shared" si="11"/>
        <v>37982.046365000002</v>
      </c>
      <c r="I20" s="34">
        <f t="shared" si="11"/>
        <v>38361.866828649996</v>
      </c>
      <c r="J20" s="34">
        <f t="shared" si="11"/>
        <v>38745.485496936504</v>
      </c>
      <c r="K20" s="34">
        <f t="shared" si="11"/>
        <v>39132.940351905876</v>
      </c>
      <c r="L20" s="34">
        <f t="shared" si="11"/>
        <v>39524.269755424932</v>
      </c>
      <c r="M20" s="34">
        <f t="shared" si="11"/>
        <v>39919.512452979179</v>
      </c>
      <c r="N20" s="34">
        <f t="shared" si="11"/>
        <v>40318.707577508969</v>
      </c>
      <c r="O20" s="34">
        <f t="shared" si="11"/>
        <v>40721.894653284056</v>
      </c>
      <c r="P20" s="34">
        <f t="shared" si="11"/>
        <v>41129.113599816905</v>
      </c>
      <c r="Q20" s="34">
        <f t="shared" si="11"/>
        <v>41540.404735815071</v>
      </c>
      <c r="R20" s="34">
        <f t="shared" si="11"/>
        <v>41955.808783173219</v>
      </c>
      <c r="S20" s="34">
        <f t="shared" si="11"/>
        <v>42375.366871004953</v>
      </c>
      <c r="T20" s="34">
        <f t="shared" si="11"/>
        <v>42799.120539715004</v>
      </c>
      <c r="U20" s="34">
        <f t="shared" si="11"/>
        <v>43227.111745112154</v>
      </c>
      <c r="V20" s="34">
        <f t="shared" si="11"/>
        <v>43659.382862563274</v>
      </c>
      <c r="W20" s="34">
        <f t="shared" si="11"/>
        <v>44095.976691188909</v>
      </c>
      <c r="X20" s="34">
        <f t="shared" si="11"/>
        <v>44536.936458100798</v>
      </c>
      <c r="Y20" s="34">
        <f t="shared" si="11"/>
        <v>44982.30582268181</v>
      </c>
      <c r="Z20" s="34">
        <f t="shared" si="11"/>
        <v>45432.128880908633</v>
      </c>
    </row>
    <row r="21" spans="1:26">
      <c r="A21" s="70"/>
      <c r="B21" s="78" t="s">
        <v>473</v>
      </c>
      <c r="D21" s="34">
        <f t="shared" ref="D21:Z21" si="12">D94</f>
        <v>36500</v>
      </c>
      <c r="E21" s="34">
        <f t="shared" si="12"/>
        <v>36865</v>
      </c>
      <c r="F21" s="34">
        <f t="shared" si="12"/>
        <v>37233.65</v>
      </c>
      <c r="G21" s="34">
        <f t="shared" si="12"/>
        <v>37605.986500000006</v>
      </c>
      <c r="H21" s="34">
        <f t="shared" si="12"/>
        <v>37982.046365000002</v>
      </c>
      <c r="I21" s="34">
        <f t="shared" si="12"/>
        <v>38361.866828649996</v>
      </c>
      <c r="J21" s="34">
        <f t="shared" si="12"/>
        <v>38745.485496936504</v>
      </c>
      <c r="K21" s="34">
        <f t="shared" si="12"/>
        <v>39132.940351905876</v>
      </c>
      <c r="L21" s="34">
        <f t="shared" si="12"/>
        <v>39524.269755424932</v>
      </c>
      <c r="M21" s="34">
        <f t="shared" si="12"/>
        <v>39919.512452979179</v>
      </c>
      <c r="N21" s="34">
        <f t="shared" si="12"/>
        <v>40318.707577508969</v>
      </c>
      <c r="O21" s="34">
        <f t="shared" si="12"/>
        <v>40721.894653284056</v>
      </c>
      <c r="P21" s="34">
        <f t="shared" si="12"/>
        <v>41129.113599816905</v>
      </c>
      <c r="Q21" s="34">
        <f t="shared" si="12"/>
        <v>41540.404735815071</v>
      </c>
      <c r="R21" s="34">
        <f t="shared" si="12"/>
        <v>41955.808783173219</v>
      </c>
      <c r="S21" s="34">
        <f t="shared" si="12"/>
        <v>42375.366871004953</v>
      </c>
      <c r="T21" s="34">
        <f t="shared" si="12"/>
        <v>42799.120539715004</v>
      </c>
      <c r="U21" s="34">
        <f t="shared" si="12"/>
        <v>43227.111745112154</v>
      </c>
      <c r="V21" s="34">
        <f t="shared" si="12"/>
        <v>43659.382862563274</v>
      </c>
      <c r="W21" s="34">
        <f t="shared" si="12"/>
        <v>44095.976691188909</v>
      </c>
      <c r="X21" s="34">
        <f t="shared" si="12"/>
        <v>44536.936458100798</v>
      </c>
      <c r="Y21" s="34">
        <f t="shared" si="12"/>
        <v>44982.30582268181</v>
      </c>
      <c r="Z21" s="34">
        <f t="shared" si="12"/>
        <v>45432.128880908633</v>
      </c>
    </row>
    <row r="22" spans="1:26">
      <c r="A22" s="70"/>
      <c r="B22" s="53"/>
      <c r="G22"/>
      <c r="I22" s="34"/>
    </row>
    <row r="23" spans="1:26">
      <c r="A23" s="5" t="s">
        <v>369</v>
      </c>
      <c r="B23" s="53"/>
      <c r="G23"/>
      <c r="I23"/>
    </row>
    <row r="24" spans="1:26">
      <c r="A24" s="5"/>
      <c r="B24" s="244" t="s">
        <v>573</v>
      </c>
      <c r="C24" s="208">
        <f>(($D$125*(1+($H$124*(C2-2011))))+($D$127*(1+($H$126*(C2-2011)))))/2</f>
        <v>27085.681096</v>
      </c>
      <c r="D24" s="208">
        <f t="shared" ref="D24:T24" si="13">(($D$125*(1+($H$124*(D2-2011))))+($D$127*(1+($H$126*(D2-2011)))))/2</f>
        <v>27165.862192000001</v>
      </c>
      <c r="E24" s="208">
        <f t="shared" si="13"/>
        <v>27246.043288000001</v>
      </c>
      <c r="F24" s="208">
        <f t="shared" si="13"/>
        <v>27326.224384000001</v>
      </c>
      <c r="G24" s="208">
        <f t="shared" si="13"/>
        <v>27406.405479999998</v>
      </c>
      <c r="H24" s="208">
        <f t="shared" si="13"/>
        <v>27486.586576000002</v>
      </c>
      <c r="I24" s="208">
        <f t="shared" si="13"/>
        <v>27566.767672000002</v>
      </c>
      <c r="J24" s="208">
        <f t="shared" si="13"/>
        <v>27646.948767999998</v>
      </c>
      <c r="K24" s="208">
        <f t="shared" si="13"/>
        <v>27727.129864000002</v>
      </c>
      <c r="L24" s="208">
        <f t="shared" si="13"/>
        <v>27807.310959999999</v>
      </c>
      <c r="M24" s="208">
        <f t="shared" si="13"/>
        <v>27887.492055999999</v>
      </c>
      <c r="N24" s="208">
        <f t="shared" si="13"/>
        <v>27967.673151999996</v>
      </c>
      <c r="O24" s="208">
        <f t="shared" si="13"/>
        <v>28047.854248000003</v>
      </c>
      <c r="P24" s="208">
        <f t="shared" si="13"/>
        <v>28128.035344000004</v>
      </c>
      <c r="Q24" s="208">
        <f t="shared" si="13"/>
        <v>28208.216439999997</v>
      </c>
      <c r="R24" s="208">
        <f t="shared" si="13"/>
        <v>28288.397536</v>
      </c>
      <c r="S24" s="208">
        <f t="shared" si="13"/>
        <v>28368.578632000001</v>
      </c>
      <c r="T24" s="208">
        <f t="shared" si="13"/>
        <v>28448.759727999997</v>
      </c>
      <c r="U24" s="208">
        <f>(($D$125*(1+($H$124*(U2-2011))))+($D$127*(1+($H$126*(U2-2011)))))/2</f>
        <v>28528.940824000001</v>
      </c>
      <c r="V24" s="208">
        <f>(($E$125*(1+($J$124*(V2-2030))))+($E$127*(1+($J$126*(V2-2030)))))/2</f>
        <v>27420.194300000003</v>
      </c>
      <c r="W24" s="208">
        <f t="shared" ref="W24:Z24" si="14">(($E$125*(1+($J$124*(W2-2030))))+($E$127*(1+($J$126*(W2-2030)))))/2</f>
        <v>26247.388599999998</v>
      </c>
      <c r="X24" s="208">
        <f t="shared" si="14"/>
        <v>25074.582900000001</v>
      </c>
      <c r="Y24" s="208">
        <f t="shared" si="14"/>
        <v>23901.777199999997</v>
      </c>
      <c r="Z24" s="208">
        <f t="shared" si="14"/>
        <v>22728.9715</v>
      </c>
    </row>
    <row r="25" spans="1:26">
      <c r="A25" s="70" t="s">
        <v>370</v>
      </c>
      <c r="B25" s="70" t="s">
        <v>366</v>
      </c>
      <c r="C25" s="298">
        <f>C24*365</f>
        <v>9886273.6000399999</v>
      </c>
      <c r="D25" s="298">
        <f>D24*365</f>
        <v>9915539.7000799999</v>
      </c>
      <c r="E25" s="298">
        <v>0</v>
      </c>
      <c r="F25" s="298"/>
      <c r="G25" s="298"/>
      <c r="H25" s="298"/>
      <c r="I25" s="298"/>
      <c r="J25" s="298"/>
      <c r="K25" s="298"/>
      <c r="L25" s="298"/>
      <c r="M25" s="298"/>
      <c r="N25" s="298"/>
      <c r="O25" s="298"/>
      <c r="P25" s="298"/>
      <c r="Q25" s="298"/>
      <c r="R25" s="298"/>
      <c r="S25" s="298"/>
      <c r="T25" s="298"/>
      <c r="U25" s="298"/>
      <c r="V25" s="298"/>
      <c r="W25" s="298"/>
      <c r="X25" s="298"/>
      <c r="Y25" s="298"/>
      <c r="Z25" s="298"/>
    </row>
    <row r="26" spans="1:26">
      <c r="A26" s="70"/>
      <c r="B26" s="70" t="s">
        <v>529</v>
      </c>
      <c r="C26" s="298">
        <f t="shared" ref="C26:H26" si="15">0.5*C33</f>
        <v>0</v>
      </c>
      <c r="D26" s="298">
        <f t="shared" si="15"/>
        <v>-27375</v>
      </c>
      <c r="E26" s="298">
        <f t="shared" si="15"/>
        <v>-46579.506743051788</v>
      </c>
      <c r="F26" s="298">
        <f t="shared" si="15"/>
        <v>-46724.236190772295</v>
      </c>
      <c r="G26" s="298">
        <f t="shared" si="15"/>
        <v>-46871.730513492817</v>
      </c>
      <c r="H26" s="298">
        <f t="shared" si="15"/>
        <v>-47022.017359963334</v>
      </c>
      <c r="I26" s="298">
        <f t="shared" ref="I26:Z26" si="16">0.5*I33</f>
        <v>-47175.124655421343</v>
      </c>
      <c r="J26" s="298">
        <f t="shared" si="16"/>
        <v>-47331.080604356743</v>
      </c>
      <c r="K26" s="298">
        <f t="shared" si="16"/>
        <v>-47489.91369330429</v>
      </c>
      <c r="L26" s="298">
        <f t="shared" si="16"/>
        <v>-48050.949942618739</v>
      </c>
      <c r="M26" s="298">
        <f t="shared" si="16"/>
        <v>-48614.921162459592</v>
      </c>
      <c r="N26" s="298">
        <f t="shared" si="16"/>
        <v>-49181.85670253211</v>
      </c>
      <c r="O26" s="298">
        <f t="shared" si="16"/>
        <v>-49751.786206038596</v>
      </c>
      <c r="P26" s="298">
        <f t="shared" si="16"/>
        <v>-50324.73961261339</v>
      </c>
      <c r="Q26" s="298">
        <f t="shared" si="16"/>
        <v>-50900.747161287181</v>
      </c>
      <c r="R26" s="298">
        <f t="shared" si="16"/>
        <v>-51479.839393480957</v>
      </c>
      <c r="S26" s="298">
        <f t="shared" si="16"/>
        <v>-52062.047156029927</v>
      </c>
      <c r="T26" s="298">
        <f t="shared" si="16"/>
        <v>-52647.401604237632</v>
      </c>
      <c r="U26" s="298">
        <f t="shared" si="16"/>
        <v>-53235.934204960664</v>
      </c>
      <c r="V26" s="298">
        <f t="shared" si="16"/>
        <v>-53827.676739724171</v>
      </c>
      <c r="W26" s="298">
        <f t="shared" si="16"/>
        <v>-54422.661307868562</v>
      </c>
      <c r="X26" s="298">
        <f t="shared" si="16"/>
        <v>-55020.92032972764</v>
      </c>
      <c r="Y26" s="298">
        <f t="shared" si="16"/>
        <v>-55622.486549838577</v>
      </c>
      <c r="Z26" s="298">
        <f t="shared" si="16"/>
        <v>-56227.393040183859</v>
      </c>
    </row>
    <row r="27" spans="1:26">
      <c r="A27" s="70" t="s">
        <v>371</v>
      </c>
      <c r="B27" s="70" t="s">
        <v>366</v>
      </c>
      <c r="C27" s="298"/>
      <c r="D27" s="298"/>
      <c r="E27" s="298">
        <f>(E24*365)+E26</f>
        <v>9898226.2933769487</v>
      </c>
      <c r="F27" s="298">
        <f t="shared" ref="F27:Z27" si="17">(F24*365)+F26</f>
        <v>9927347.663969228</v>
      </c>
      <c r="G27" s="298">
        <f t="shared" si="17"/>
        <v>9956466.2696865071</v>
      </c>
      <c r="H27" s="298">
        <f t="shared" si="17"/>
        <v>9985582.0828800388</v>
      </c>
      <c r="I27" s="298">
        <f t="shared" si="17"/>
        <v>10014695.07562458</v>
      </c>
      <c r="J27" s="298">
        <f t="shared" si="17"/>
        <v>10043805.219715642</v>
      </c>
      <c r="K27" s="298">
        <f t="shared" si="17"/>
        <v>10072912.486666696</v>
      </c>
      <c r="L27" s="298">
        <f t="shared" si="17"/>
        <v>10101617.550457381</v>
      </c>
      <c r="M27" s="298">
        <f t="shared" si="17"/>
        <v>10130319.679277539</v>
      </c>
      <c r="N27" s="298">
        <f t="shared" si="17"/>
        <v>10159018.843777467</v>
      </c>
      <c r="O27" s="298">
        <f t="shared" si="17"/>
        <v>10187715.014313962</v>
      </c>
      <c r="P27" s="298">
        <f t="shared" si="17"/>
        <v>10216408.160947388</v>
      </c>
      <c r="Q27" s="298">
        <f t="shared" si="17"/>
        <v>10245098.253438711</v>
      </c>
      <c r="R27" s="298">
        <f t="shared" si="17"/>
        <v>10273785.261246519</v>
      </c>
      <c r="S27" s="298">
        <f t="shared" si="17"/>
        <v>10302469.15352397</v>
      </c>
      <c r="T27" s="298">
        <f t="shared" si="17"/>
        <v>10331149.899115762</v>
      </c>
      <c r="U27" s="298">
        <f t="shared" si="17"/>
        <v>10359827.46655504</v>
      </c>
      <c r="V27" s="298">
        <f t="shared" si="17"/>
        <v>9954543.2427602764</v>
      </c>
      <c r="W27" s="298">
        <f t="shared" si="17"/>
        <v>9525874.1776921302</v>
      </c>
      <c r="X27" s="298">
        <f t="shared" si="17"/>
        <v>9097201.8381702732</v>
      </c>
      <c r="Y27" s="298">
        <f t="shared" si="17"/>
        <v>8668526.19145016</v>
      </c>
      <c r="Z27" s="298">
        <f t="shared" si="17"/>
        <v>8239847.2044598162</v>
      </c>
    </row>
    <row r="28" spans="1:26">
      <c r="G28"/>
      <c r="I28"/>
    </row>
    <row r="29" spans="1:26">
      <c r="A29" s="70"/>
      <c r="G29"/>
      <c r="I29"/>
    </row>
    <row r="30" spans="1:26">
      <c r="A30" s="70"/>
      <c r="B30" s="58" t="s">
        <v>436</v>
      </c>
      <c r="G30"/>
      <c r="I30"/>
    </row>
    <row r="31" spans="1:26">
      <c r="B31" s="78" t="s">
        <v>505</v>
      </c>
      <c r="C31" s="298">
        <f>C6+C7+C11+C12+C20+C21</f>
        <v>0</v>
      </c>
      <c r="D31" s="298">
        <f t="shared" ref="D31:Z31" si="18">D6+D7+D11+D12+D20+D21</f>
        <v>73000</v>
      </c>
      <c r="E31" s="298">
        <f t="shared" si="18"/>
        <v>149453.02697220715</v>
      </c>
      <c r="F31" s="298">
        <f t="shared" si="18"/>
        <v>149663.29476308922</v>
      </c>
      <c r="G31" s="298">
        <f t="shared" si="18"/>
        <v>149880.9355539713</v>
      </c>
      <c r="H31" s="298">
        <f t="shared" si="18"/>
        <v>150106.02307485332</v>
      </c>
      <c r="I31" s="298">
        <f t="shared" si="18"/>
        <v>150338.6317930354</v>
      </c>
      <c r="J31" s="298">
        <f t="shared" si="18"/>
        <v>150578.83692049046</v>
      </c>
      <c r="K31" s="298">
        <f t="shared" si="18"/>
        <v>150826.71442131128</v>
      </c>
      <c r="L31" s="298">
        <f t="shared" si="18"/>
        <v>152679.53001505003</v>
      </c>
      <c r="M31" s="298">
        <f t="shared" si="18"/>
        <v>154540.1721968592</v>
      </c>
      <c r="N31" s="298">
        <f t="shared" si="18"/>
        <v>156408.71923261945</v>
      </c>
      <c r="O31" s="298">
        <f t="shared" si="18"/>
        <v>158285.25017087031</v>
      </c>
      <c r="P31" s="298">
        <f t="shared" si="18"/>
        <v>160169.84485063667</v>
      </c>
      <c r="Q31" s="298">
        <f t="shared" si="18"/>
        <v>162062.58390933365</v>
      </c>
      <c r="R31" s="298">
        <f t="shared" si="18"/>
        <v>163963.54879075062</v>
      </c>
      <c r="S31" s="298">
        <f t="shared" si="18"/>
        <v>165872.82175311475</v>
      </c>
      <c r="T31" s="298">
        <f t="shared" si="18"/>
        <v>167790.48587723554</v>
      </c>
      <c r="U31" s="298">
        <f t="shared" si="18"/>
        <v>169716.62507473049</v>
      </c>
      <c r="V31" s="298">
        <f t="shared" si="18"/>
        <v>171651.32409633341</v>
      </c>
      <c r="W31" s="298">
        <f t="shared" si="18"/>
        <v>173594.66854028535</v>
      </c>
      <c r="X31" s="298">
        <f t="shared" si="18"/>
        <v>175546.74486080976</v>
      </c>
      <c r="Y31" s="298">
        <f t="shared" si="18"/>
        <v>177507.6403766725</v>
      </c>
      <c r="Z31" s="298">
        <f t="shared" si="18"/>
        <v>179477.44327982678</v>
      </c>
    </row>
    <row r="32" spans="1:26">
      <c r="B32" s="78" t="s">
        <v>506</v>
      </c>
      <c r="C32" s="298">
        <f>-C16</f>
        <v>0</v>
      </c>
      <c r="D32" s="298">
        <f t="shared" ref="D32:Z32" si="19">-D16</f>
        <v>-27375</v>
      </c>
      <c r="E32" s="298">
        <f t="shared" si="19"/>
        <v>-27648.75</v>
      </c>
      <c r="F32" s="298">
        <f t="shared" si="19"/>
        <v>-27925.237499999999</v>
      </c>
      <c r="G32" s="298">
        <f t="shared" si="19"/>
        <v>-28204.489875000003</v>
      </c>
      <c r="H32" s="298">
        <f t="shared" si="19"/>
        <v>-28486.534773749998</v>
      </c>
      <c r="I32" s="298">
        <f t="shared" si="19"/>
        <v>-28771.400121487499</v>
      </c>
      <c r="J32" s="298">
        <f t="shared" si="19"/>
        <v>-29059.11412270238</v>
      </c>
      <c r="K32" s="298">
        <f t="shared" si="19"/>
        <v>-29349.705263929402</v>
      </c>
      <c r="L32" s="298">
        <f t="shared" si="19"/>
        <v>-29643.202316568691</v>
      </c>
      <c r="M32" s="298">
        <f t="shared" si="19"/>
        <v>-29939.634339734381</v>
      </c>
      <c r="N32" s="298">
        <f t="shared" si="19"/>
        <v>-30239.030683131725</v>
      </c>
      <c r="O32" s="298">
        <f t="shared" si="19"/>
        <v>-30541.42098996304</v>
      </c>
      <c r="P32" s="298">
        <f t="shared" si="19"/>
        <v>-30846.835199862675</v>
      </c>
      <c r="Q32" s="298">
        <f t="shared" si="19"/>
        <v>-31155.303551861296</v>
      </c>
      <c r="R32" s="298">
        <f t="shared" si="19"/>
        <v>-31466.856587379913</v>
      </c>
      <c r="S32" s="298">
        <f t="shared" si="19"/>
        <v>-31781.525153253715</v>
      </c>
      <c r="T32" s="298">
        <f t="shared" si="19"/>
        <v>-32099.34040478625</v>
      </c>
      <c r="U32" s="298">
        <f t="shared" si="19"/>
        <v>-32420.333808834112</v>
      </c>
      <c r="V32" s="298">
        <f t="shared" si="19"/>
        <v>-32744.537146922448</v>
      </c>
      <c r="W32" s="298">
        <f t="shared" si="19"/>
        <v>-33071.982518391676</v>
      </c>
      <c r="X32" s="298">
        <f t="shared" si="19"/>
        <v>-33402.702343575598</v>
      </c>
      <c r="Y32" s="298">
        <f t="shared" si="19"/>
        <v>-33736.729367011358</v>
      </c>
      <c r="Z32" s="298">
        <f t="shared" si="19"/>
        <v>-34074.096660681469</v>
      </c>
    </row>
    <row r="33" spans="1:26">
      <c r="B33" s="78" t="s">
        <v>507</v>
      </c>
      <c r="C33" s="298"/>
      <c r="D33" s="298">
        <f>-(('A-N Users'!D6+'A-N Users'!D11+'A-N Users'!D15+'A-N Users'!D20))</f>
        <v>-54750</v>
      </c>
      <c r="E33" s="298">
        <f>-(('A-N Users'!E6+'A-N Users'!E11+'A-N Users'!E15)+('A-N Users'!E20))</f>
        <v>-93159.013486103577</v>
      </c>
      <c r="F33" s="298">
        <f>-(('A-N Users'!F6+'A-N Users'!F11+'A-N Users'!F15)+('A-N Users'!F20))</f>
        <v>-93448.47238154459</v>
      </c>
      <c r="G33" s="298">
        <f>-(('A-N Users'!G6+'A-N Users'!G11+'A-N Users'!G15)+('A-N Users'!G20))</f>
        <v>-93743.461026985635</v>
      </c>
      <c r="H33" s="298">
        <f>-(('A-N Users'!H6+'A-N Users'!H11+'A-N Users'!H15)+('A-N Users'!H20))</f>
        <v>-94044.034719926669</v>
      </c>
      <c r="I33" s="298">
        <f>-(('A-N Users'!I6+'A-N Users'!I11+'A-N Users'!I15)+('A-N Users'!I20))</f>
        <v>-94350.249310842686</v>
      </c>
      <c r="J33" s="298">
        <f>-(('A-N Users'!J6+'A-N Users'!J11+'A-N Users'!J15)+('A-N Users'!J20))</f>
        <v>-94662.161208713485</v>
      </c>
      <c r="K33" s="298">
        <f>-(('A-N Users'!K6+'A-N Users'!K11+'A-N Users'!K15)+('A-N Users'!K20))</f>
        <v>-94979.82738660858</v>
      </c>
      <c r="L33" s="298">
        <f>-(('A-N Users'!L6+'A-N Users'!L11+'A-N Users'!L15)+('A-N Users'!L20))</f>
        <v>-96101.899885237479</v>
      </c>
      <c r="M33" s="298">
        <f>-(('A-N Users'!M6+'A-N Users'!M11+'A-N Users'!M15)+('A-N Users'!M20))</f>
        <v>-97229.842324919184</v>
      </c>
      <c r="N33" s="298">
        <f>-(('A-N Users'!N6+'A-N Users'!N11+'A-N Users'!N15)+('A-N Users'!N20))</f>
        <v>-98363.71340506422</v>
      </c>
      <c r="O33" s="298">
        <f>-(('A-N Users'!O6+'A-N Users'!O11+'A-N Users'!O15)+('A-N Users'!O20))</f>
        <v>-99503.572412077192</v>
      </c>
      <c r="P33" s="298">
        <f>-(('A-N Users'!P6+'A-N Users'!P11+'A-N Users'!P15)+('A-N Users'!P20))</f>
        <v>-100649.47922522678</v>
      </c>
      <c r="Q33" s="298">
        <f>-(('A-N Users'!Q6+'A-N Users'!Q11+'A-N Users'!Q15)+('A-N Users'!Q20))</f>
        <v>-101801.49432257436</v>
      </c>
      <c r="R33" s="298">
        <f>-(('A-N Users'!R6+'A-N Users'!R11+'A-N Users'!R15)+('A-N Users'!R20))</f>
        <v>-102959.67878696191</v>
      </c>
      <c r="S33" s="298">
        <f>-(('A-N Users'!S6+'A-N Users'!S11+'A-N Users'!S15)+('A-N Users'!S20))</f>
        <v>-104124.09431205985</v>
      </c>
      <c r="T33" s="298">
        <f>-(('A-N Users'!T6+'A-N Users'!T11+'A-N Users'!T15)+('A-N Users'!T20))</f>
        <v>-105294.80320847526</v>
      </c>
      <c r="U33" s="298">
        <f>-(('A-N Users'!U6+'A-N Users'!U11+'A-N Users'!U15)+('A-N Users'!U20))</f>
        <v>-106471.86840992133</v>
      </c>
      <c r="V33" s="298">
        <f>-(('A-N Users'!V6+'A-N Users'!V11+'A-N Users'!V15)+('A-N Users'!V20))</f>
        <v>-107655.35347944834</v>
      </c>
      <c r="W33" s="298">
        <f>-(('A-N Users'!W6+'A-N Users'!W11+'A-N Users'!W15)+('A-N Users'!W20))</f>
        <v>-108845.32261573712</v>
      </c>
      <c r="X33" s="298">
        <f>-(('A-N Users'!X6+'A-N Users'!X11+'A-N Users'!X15)+('A-N Users'!X20))</f>
        <v>-110041.84065945528</v>
      </c>
      <c r="Y33" s="298">
        <f>-(('A-N Users'!Y6+'A-N Users'!Y11+'A-N Users'!Y15)+('A-N Users'!Y20))</f>
        <v>-111244.97309967715</v>
      </c>
      <c r="Z33" s="298">
        <f>-(('A-N Users'!Z6+'A-N Users'!Z11+'A-N Users'!Z15)+('A-N Users'!Z20))</f>
        <v>-112454.78608036772</v>
      </c>
    </row>
    <row r="34" spans="1:26">
      <c r="B34" s="78" t="s">
        <v>508</v>
      </c>
      <c r="C34" s="298"/>
      <c r="D34" s="298">
        <f>-('Mode Operating Assumptions'!$C$27*('A-N Users'!D6+'A-N Users'!D11+'A-N Users'!D20)+'Mode Operating Assumptions'!$C$18*('A-N Users'!D15))</f>
        <v>-269917.5</v>
      </c>
      <c r="E34" s="298">
        <f>-('Mode Operating Assumptions'!$C$27*('A-N Users'!E6+'A-N Users'!E11+'A-N Users'!E20)+'Mode Operating Assumptions'!$C$18*('A-N Users'!E15))</f>
        <v>-518716.51265967323</v>
      </c>
      <c r="F34" s="298">
        <f>-('Mode Operating Assumptions'!$C$27*('A-N Users'!F6+'A-N Users'!F11+'A-N Users'!F20)+'Mode Operating Assumptions'!$C$18*('A-N Users'!F15))</f>
        <v>-519729.82473003992</v>
      </c>
      <c r="G34" s="298">
        <f>-('Mode Operating Assumptions'!$C$27*('A-N Users'!G6+'A-N Users'!G11+'A-N Users'!G20)+'Mode Operating Assumptions'!$C$18*('A-N Users'!G15))</f>
        <v>-520770.39846790663</v>
      </c>
      <c r="H34" s="298">
        <f>-('Mode Operating Assumptions'!$C$27*('A-N Users'!H6+'A-N Users'!H11+'A-N Users'!H20)+'Mode Operating Assumptions'!$C$18*('A-N Users'!H15))</f>
        <v>-521838.50648994837</v>
      </c>
      <c r="I34" s="298">
        <f>-('Mode Operating Assumptions'!$C$27*('A-N Users'!I6+'A-N Users'!I11+'A-N Users'!I20)+'Mode Operating Assumptions'!$C$18*('A-N Users'!I15))</f>
        <v>-522934.4241390067</v>
      </c>
      <c r="J34" s="298">
        <f>-('Mode Operating Assumptions'!$C$27*('A-N Users'!J6+'A-N Users'!J11+'A-N Users'!J20)+'Mode Operating Assumptions'!$C$18*('A-N Users'!J15))</f>
        <v>-524058.42951135209</v>
      </c>
      <c r="K34" s="298">
        <f>-('Mode Operating Assumptions'!$C$27*('A-N Users'!K6+'A-N Users'!K11+'A-N Users'!K20)+'Mode Operating Assumptions'!$C$18*('A-N Users'!K15))</f>
        <v>-525210.8034842175</v>
      </c>
      <c r="L34" s="298">
        <f>-('Mode Operating Assumptions'!$C$27*('A-N Users'!L6+'A-N Users'!L11+'A-N Users'!L20)+'Mode Operating Assumptions'!$C$18*('A-N Users'!L15))</f>
        <v>-531582.69398001791</v>
      </c>
      <c r="M34" s="298">
        <f>-('Mode Operating Assumptions'!$C$27*('A-N Users'!M6+'A-N Users'!M11+'A-N Users'!M20)+'Mode Operating Assumptions'!$C$18*('A-N Users'!M15))</f>
        <v>-537983.52328520874</v>
      </c>
      <c r="N34" s="298">
        <f>-('Mode Operating Assumptions'!$C$27*('A-N Users'!N6+'A-N Users'!N11+'A-N Users'!N20)+'Mode Operating Assumptions'!$C$18*('A-N Users'!N15))</f>
        <v>-544413.58078788372</v>
      </c>
      <c r="O34" s="298">
        <f>-('Mode Operating Assumptions'!$C$27*('A-N Users'!O6+'A-N Users'!O11+'A-N Users'!O20)+'Mode Operating Assumptions'!$C$18*('A-N Users'!O15))</f>
        <v>-550873.15877001779</v>
      </c>
      <c r="P34" s="298">
        <f>-('Mode Operating Assumptions'!$C$27*('A-N Users'!P6+'A-N Users'!P11+'A-N Users'!P20)+'Mode Operating Assumptions'!$C$18*('A-N Users'!P15))</f>
        <v>-557362.55243640533</v>
      </c>
      <c r="Q34" s="298">
        <f>-('Mode Operating Assumptions'!$C$27*('A-N Users'!Q6+'A-N Users'!Q11+'A-N Users'!Q20)+'Mode Operating Assumptions'!$C$18*('A-N Users'!Q15))</f>
        <v>-563882.0599438888</v>
      </c>
      <c r="R34" s="298">
        <f>-('Mode Operating Assumptions'!$C$27*('A-N Users'!R6+'A-N Users'!R11+'A-N Users'!R20)+'Mode Operating Assumptions'!$C$18*('A-N Users'!R15))</f>
        <v>-570431.98243087961</v>
      </c>
      <c r="S34" s="298">
        <f>-('Mode Operating Assumptions'!$C$27*('A-N Users'!S6+'A-N Users'!S11+'A-N Users'!S20)+'Mode Operating Assumptions'!$C$18*('A-N Users'!S15))</f>
        <v>-577012.62404717237</v>
      </c>
      <c r="T34" s="298">
        <f>-('Mode Operating Assumptions'!$C$27*('A-N Users'!T6+'A-N Users'!T11+'A-N Users'!T20)+'Mode Operating Assumptions'!$C$18*('A-N Users'!T15))</f>
        <v>-583624.29198406043</v>
      </c>
      <c r="U34" s="298">
        <f>-('Mode Operating Assumptions'!$C$27*('A-N Users'!U6+'A-N Users'!U11+'A-N Users'!U20)+'Mode Operating Assumptions'!$C$18*('A-N Users'!U15))</f>
        <v>-590267.29650474945</v>
      </c>
      <c r="V34" s="298">
        <f>-('Mode Operating Assumptions'!$C$27*('A-N Users'!V6+'A-N Users'!V11+'A-N Users'!V20)+'Mode Operating Assumptions'!$C$18*('A-N Users'!V15))</f>
        <v>-596941.95097507769</v>
      </c>
      <c r="W34" s="298">
        <f>-('Mode Operating Assumptions'!$C$27*('A-N Users'!W6+'A-N Users'!W11+'A-N Users'!W20)+'Mode Operating Assumptions'!$C$18*('A-N Users'!W15))</f>
        <v>-603648.5718945415</v>
      </c>
      <c r="X34" s="298">
        <f>-('Mode Operating Assumptions'!$C$27*('A-N Users'!X6+'A-N Users'!X11+'A-N Users'!X20)+'Mode Operating Assumptions'!$C$18*('A-N Users'!X15))</f>
        <v>-610387.47892763198</v>
      </c>
      <c r="Y34" s="298">
        <f>-('Mode Operating Assumptions'!$C$27*('A-N Users'!Y6+'A-N Users'!Y11+'A-N Users'!Y20)+'Mode Operating Assumptions'!$C$18*('A-N Users'!Y15))</f>
        <v>-617158.99493548588</v>
      </c>
      <c r="Z34" s="298">
        <f>-('Mode Operating Assumptions'!$C$27*('A-N Users'!Z6+'A-N Users'!Z11+'A-N Users'!Z20)+'Mode Operating Assumptions'!$C$18*('A-N Users'!Z15))</f>
        <v>-623963.44600785035</v>
      </c>
    </row>
    <row r="35" spans="1:26">
      <c r="A35" s="70"/>
      <c r="B35" s="54" t="s">
        <v>509</v>
      </c>
      <c r="C35" s="246">
        <f>-(C34*'Mode Operating Assumptions'!$C$8/'Mode Operating Assumptions'!C11)</f>
        <v>0</v>
      </c>
      <c r="D35" s="246">
        <f>-(D34*'Mode Operating Assumptions'!$C$8/'Mode Operating Assumptions'!D11)</f>
        <v>47565.643456646481</v>
      </c>
      <c r="E35" s="246">
        <f>-(E34*'Mode Operating Assumptions'!$C$8/'Mode Operating Assumptions'!E11)</f>
        <v>89349.622998719104</v>
      </c>
      <c r="F35" s="246">
        <f>-(F34*'Mode Operating Assumptions'!$C$8/'Mode Operating Assumptions'!F11)</f>
        <v>87551.028011571383</v>
      </c>
      <c r="G35" s="246">
        <f>-(G34*'Mode Operating Assumptions'!$C$8/'Mode Operating Assumptions'!G11)</f>
        <v>85834.499750904695</v>
      </c>
      <c r="H35" s="246">
        <f>-(H34*'Mode Operating Assumptions'!$C$8/'Mode Operating Assumptions'!H11)</f>
        <v>84194.884972961328</v>
      </c>
      <c r="I35" s="246">
        <f>-(I34*'Mode Operating Assumptions'!$C$8/'Mode Operating Assumptions'!I11)</f>
        <v>82627.457004140218</v>
      </c>
      <c r="J35" s="246">
        <f>-(J34*'Mode Operating Assumptions'!$C$8/'Mode Operating Assumptions'!J11)</f>
        <v>81127.872545121601</v>
      </c>
      <c r="K35" s="246">
        <f>-(K34*'Mode Operating Assumptions'!$C$8/'Mode Operating Assumptions'!K11)</f>
        <v>79692.13362031494</v>
      </c>
      <c r="L35" s="246">
        <f>-(L34*'Mode Operating Assumptions'!$C$8/'Mode Operating Assumptions'!L11)</f>
        <v>80616.250890372263</v>
      </c>
      <c r="M35" s="246">
        <f>-(M34*'Mode Operating Assumptions'!$C$8/'Mode Operating Assumptions'!M11)</f>
        <v>81543.776293652874</v>
      </c>
      <c r="N35" s="246">
        <f>-(N34*'Mode Operating Assumptions'!$C$8/'Mode Operating Assumptions'!N11)</f>
        <v>82474.748261803717</v>
      </c>
      <c r="O35" s="246">
        <f>-(O34*'Mode Operating Assumptions'!$C$8/'Mode Operating Assumptions'!O11)</f>
        <v>83409.205583365867</v>
      </c>
      <c r="P35" s="246">
        <f>-(P34*'Mode Operating Assumptions'!$C$8/'Mode Operating Assumptions'!P11)</f>
        <v>84347.187407210848</v>
      </c>
      <c r="Q35" s="246">
        <f>-(Q34*'Mode Operating Assumptions'!$C$8/'Mode Operating Assumptions'!Q11)</f>
        <v>85288.733246009971</v>
      </c>
      <c r="R35" s="246">
        <f>-(R34*'Mode Operating Assumptions'!$C$8/'Mode Operating Assumptions'!R11)</f>
        <v>86233.882979736998</v>
      </c>
      <c r="S35" s="246">
        <f>-(S34*'Mode Operating Assumptions'!$C$8/'Mode Operating Assumptions'!S11)</f>
        <v>87182.676859203828</v>
      </c>
      <c r="T35" s="246">
        <f>-(T34*'Mode Operating Assumptions'!$C$8/'Mode Operating Assumptions'!T11)</f>
        <v>88135.155509630698</v>
      </c>
      <c r="U35" s="246">
        <f>-(U34*'Mode Operating Assumptions'!$C$8/'Mode Operating Assumptions'!U11)</f>
        <v>89091.359934249893</v>
      </c>
      <c r="V35" s="246">
        <f>-(V34*'Mode Operating Assumptions'!$C$8/'Mode Operating Assumptions'!V11)</f>
        <v>90051.331517944578</v>
      </c>
      <c r="W35" s="246">
        <f>-(W34*'Mode Operating Assumptions'!$C$8/'Mode Operating Assumptions'!W11)</f>
        <v>91015.112030921897</v>
      </c>
      <c r="X35" s="246">
        <f>-(X34*'Mode Operating Assumptions'!$C$8/'Mode Operating Assumptions'!X11)</f>
        <v>91982.743632421494</v>
      </c>
      <c r="Y35" s="246">
        <f>-(Y34*'Mode Operating Assumptions'!$C$8/'Mode Operating Assumptions'!Y11)</f>
        <v>92954.268874459653</v>
      </c>
      <c r="Z35" s="246">
        <f>-(Z34*'Mode Operating Assumptions'!$C$8/'Mode Operating Assumptions'!Z11)</f>
        <v>93929.730705608919</v>
      </c>
    </row>
    <row r="36" spans="1:26">
      <c r="G36"/>
      <c r="I36"/>
    </row>
    <row r="41" spans="1:26">
      <c r="A41" s="521" t="s">
        <v>251</v>
      </c>
      <c r="B41" s="523" t="s">
        <v>256</v>
      </c>
      <c r="C41" s="524"/>
      <c r="D41" s="524"/>
      <c r="E41" s="525"/>
      <c r="F41" s="523" t="s">
        <v>257</v>
      </c>
      <c r="G41" s="524"/>
      <c r="H41" s="524"/>
      <c r="I41" s="525"/>
    </row>
    <row r="42" spans="1:26" ht="13.5" thickBot="1">
      <c r="A42" s="522"/>
      <c r="B42" s="151">
        <v>2005</v>
      </c>
      <c r="C42" s="152">
        <v>2010</v>
      </c>
      <c r="D42" s="152">
        <v>2020</v>
      </c>
      <c r="E42" s="153">
        <v>2030</v>
      </c>
      <c r="F42" s="151">
        <v>2005</v>
      </c>
      <c r="G42" s="152">
        <v>2010</v>
      </c>
      <c r="H42" s="152">
        <v>2020</v>
      </c>
      <c r="I42" s="153">
        <v>2030</v>
      </c>
    </row>
    <row r="43" spans="1:26" s="400" customFormat="1" ht="11.25">
      <c r="A43" s="395" t="s">
        <v>574</v>
      </c>
      <c r="B43" s="396">
        <v>15705.38095238096</v>
      </c>
      <c r="C43" s="397">
        <v>17431.73443962646</v>
      </c>
      <c r="D43" s="397">
        <v>16294.711887247746</v>
      </c>
      <c r="E43" s="398">
        <v>18790.167397401852</v>
      </c>
      <c r="F43" s="396">
        <v>15416.380952380958</v>
      </c>
      <c r="G43" s="397">
        <v>17090.861095067357</v>
      </c>
      <c r="H43" s="397">
        <v>15890.192577579428</v>
      </c>
      <c r="I43" s="398">
        <v>18141.498119874588</v>
      </c>
      <c r="J43" s="399"/>
      <c r="K43" s="399"/>
      <c r="L43" s="399"/>
      <c r="M43" s="399"/>
      <c r="N43" s="399"/>
      <c r="O43" s="399"/>
    </row>
    <row r="44" spans="1:26">
      <c r="D44">
        <f>(D43-C43)/10</f>
        <v>-113.7022552378714</v>
      </c>
      <c r="E44">
        <f>(E43-D43)/10</f>
        <v>249.54555101541064</v>
      </c>
      <c r="H44">
        <f>(H43-G43)/10</f>
        <v>-120.06685174879294</v>
      </c>
      <c r="I44">
        <f>(I43-H43)/10</f>
        <v>225.13055422951601</v>
      </c>
    </row>
    <row r="45" spans="1:26">
      <c r="D45" s="128">
        <f>D44/C43</f>
        <v>-6.5227161205140462E-3</v>
      </c>
      <c r="E45" s="128">
        <f>E44/D43</f>
        <v>1.531451140358641E-2</v>
      </c>
      <c r="F45" s="128"/>
      <c r="G45" s="401"/>
      <c r="H45" s="128">
        <f>H44/G43</f>
        <v>-7.0252078628996514E-3</v>
      </c>
      <c r="I45" s="128">
        <f>I44/H43</f>
        <v>1.4167893380170124E-2</v>
      </c>
    </row>
    <row r="46" spans="1:26">
      <c r="D46" s="128"/>
      <c r="E46" s="128"/>
      <c r="F46" s="128"/>
      <c r="G46" s="401"/>
      <c r="H46" s="128"/>
      <c r="I46" s="128"/>
    </row>
    <row r="47" spans="1:26">
      <c r="C47" s="75">
        <v>2012</v>
      </c>
      <c r="D47" s="75">
        <v>2013</v>
      </c>
      <c r="E47" s="75">
        <v>2014</v>
      </c>
      <c r="F47" s="75">
        <v>2015</v>
      </c>
      <c r="G47" s="75">
        <v>2016</v>
      </c>
      <c r="H47" s="75">
        <v>2017</v>
      </c>
      <c r="I47" s="75">
        <v>2018</v>
      </c>
      <c r="J47" s="75">
        <v>2019</v>
      </c>
      <c r="K47" s="75">
        <v>2020</v>
      </c>
      <c r="L47" s="75">
        <v>2021</v>
      </c>
      <c r="M47" s="75">
        <v>2022</v>
      </c>
      <c r="N47" s="75">
        <v>2023</v>
      </c>
      <c r="O47" s="75">
        <v>2024</v>
      </c>
      <c r="P47" s="75">
        <v>2025</v>
      </c>
      <c r="Q47" s="75">
        <v>2026</v>
      </c>
      <c r="R47" s="75">
        <v>2027</v>
      </c>
      <c r="S47" s="75">
        <v>2028</v>
      </c>
      <c r="T47" s="75">
        <v>2029</v>
      </c>
      <c r="U47" s="75">
        <v>2030</v>
      </c>
      <c r="V47" s="75">
        <v>2031</v>
      </c>
      <c r="W47" s="75">
        <v>2032</v>
      </c>
      <c r="X47" s="75">
        <v>2033</v>
      </c>
      <c r="Y47" s="75">
        <v>2034</v>
      </c>
      <c r="Z47" s="75">
        <v>2035</v>
      </c>
    </row>
    <row r="48" spans="1:26">
      <c r="C48" s="75" t="s">
        <v>18</v>
      </c>
      <c r="D48" s="72" t="s">
        <v>19</v>
      </c>
      <c r="E48" s="72" t="s">
        <v>20</v>
      </c>
      <c r="F48" s="72" t="s">
        <v>21</v>
      </c>
      <c r="G48" s="72" t="s">
        <v>22</v>
      </c>
      <c r="H48" s="72" t="s">
        <v>23</v>
      </c>
      <c r="I48" s="72" t="s">
        <v>24</v>
      </c>
      <c r="J48" s="72" t="s">
        <v>25</v>
      </c>
      <c r="K48" s="72" t="s">
        <v>26</v>
      </c>
      <c r="L48" s="72" t="s">
        <v>27</v>
      </c>
      <c r="M48" s="72" t="s">
        <v>28</v>
      </c>
      <c r="N48" s="72" t="s">
        <v>29</v>
      </c>
      <c r="O48" s="72" t="s">
        <v>30</v>
      </c>
      <c r="P48" s="72" t="s">
        <v>31</v>
      </c>
      <c r="Q48" s="72" t="s">
        <v>32</v>
      </c>
      <c r="R48" s="72" t="s">
        <v>33</v>
      </c>
      <c r="S48" s="72" t="s">
        <v>34</v>
      </c>
      <c r="T48" s="72" t="s">
        <v>35</v>
      </c>
      <c r="U48" s="72" t="s">
        <v>36</v>
      </c>
      <c r="V48" s="72" t="s">
        <v>123</v>
      </c>
      <c r="W48" s="72" t="s">
        <v>245</v>
      </c>
      <c r="X48" s="72" t="s">
        <v>246</v>
      </c>
      <c r="Y48" s="72" t="s">
        <v>247</v>
      </c>
      <c r="Z48" s="72" t="s">
        <v>248</v>
      </c>
    </row>
    <row r="49" spans="1:26">
      <c r="B49" s="26" t="s">
        <v>267</v>
      </c>
      <c r="C49" s="402">
        <f>$C$43*(1+($D$45*(C47-2010)))+$G$43*(1+($H$45*(C47-2010)))</f>
        <v>34055.057320720487</v>
      </c>
      <c r="D49" s="402">
        <f t="shared" ref="D49:J49" si="20">$C$43*(1+($D$45*(D47-2010)))+$G$43*(1+($H$45*(D47-2010)))</f>
        <v>33821.288213733824</v>
      </c>
      <c r="E49" s="402">
        <f t="shared" si="20"/>
        <v>33587.519106747161</v>
      </c>
      <c r="F49" s="402">
        <f t="shared" si="20"/>
        <v>33353.74999976049</v>
      </c>
      <c r="G49" s="402">
        <f t="shared" si="20"/>
        <v>33119.980892773834</v>
      </c>
      <c r="H49" s="402">
        <f t="shared" si="20"/>
        <v>32886.211785787164</v>
      </c>
      <c r="I49" s="402">
        <f t="shared" si="20"/>
        <v>32652.442678800504</v>
      </c>
      <c r="J49" s="402">
        <f t="shared" si="20"/>
        <v>32418.673571813837</v>
      </c>
      <c r="K49" s="164">
        <f>H43+D43</f>
        <v>32184.904464827174</v>
      </c>
      <c r="L49" s="402">
        <f>$D$43*(1+($E$45*(L47-2020)))+$H$43*(1+($I$45*(L47-2020)))</f>
        <v>32659.580570072103</v>
      </c>
      <c r="M49" s="403">
        <f t="shared" ref="M49:Z49" si="21">$D$43*(1+($E$45*(M47-2020)))+$H$43*(1+($I$45*(M47-2020)))</f>
        <v>33134.256675317025</v>
      </c>
      <c r="N49" s="403">
        <f t="shared" si="21"/>
        <v>33608.932780561954</v>
      </c>
      <c r="O49" s="403">
        <f t="shared" si="21"/>
        <v>34083.608885806883</v>
      </c>
      <c r="P49" s="403">
        <f t="shared" si="21"/>
        <v>34558.284991051805</v>
      </c>
      <c r="Q49" s="403">
        <f t="shared" si="21"/>
        <v>35032.961096296727</v>
      </c>
      <c r="R49" s="403">
        <f t="shared" si="21"/>
        <v>35507.637201541656</v>
      </c>
      <c r="S49" s="403">
        <f t="shared" si="21"/>
        <v>35982.313306786586</v>
      </c>
      <c r="T49" s="403">
        <f t="shared" si="21"/>
        <v>36456.989412031515</v>
      </c>
      <c r="U49" s="403">
        <f t="shared" si="21"/>
        <v>36931.665517276444</v>
      </c>
      <c r="V49" s="403">
        <f t="shared" si="21"/>
        <v>37406.341622521373</v>
      </c>
      <c r="W49" s="403">
        <f t="shared" si="21"/>
        <v>37881.017727766295</v>
      </c>
      <c r="X49" s="403">
        <f t="shared" si="21"/>
        <v>38355.693833011217</v>
      </c>
      <c r="Y49" s="403">
        <f t="shared" si="21"/>
        <v>38830.369938256146</v>
      </c>
      <c r="Z49" s="403">
        <f t="shared" si="21"/>
        <v>39305.046043501075</v>
      </c>
    </row>
    <row r="50" spans="1:26">
      <c r="U50" s="169">
        <f>I43+E43</f>
        <v>36931.665517276444</v>
      </c>
    </row>
    <row r="51" spans="1:26" s="25" customFormat="1">
      <c r="A51" s="247" t="s">
        <v>407</v>
      </c>
      <c r="D51" s="166"/>
      <c r="E51" s="166"/>
      <c r="F51" s="166"/>
      <c r="H51" s="166"/>
      <c r="I51" s="166"/>
      <c r="J51" s="166"/>
      <c r="L51" s="166"/>
      <c r="M51" s="166"/>
      <c r="N51" s="166"/>
      <c r="P51" s="166"/>
      <c r="Q51" s="166"/>
      <c r="R51" s="166"/>
      <c r="T51" s="166"/>
      <c r="U51" s="167"/>
      <c r="V51" s="167"/>
      <c r="X51" s="166"/>
      <c r="Y51" s="166"/>
      <c r="Z51" s="166"/>
    </row>
    <row r="52" spans="1:26" s="174" customFormat="1">
      <c r="A52" s="173" t="s">
        <v>290</v>
      </c>
      <c r="B52" s="173" t="s">
        <v>272</v>
      </c>
      <c r="C52" s="173" t="s">
        <v>273</v>
      </c>
      <c r="D52" s="173" t="s">
        <v>274</v>
      </c>
      <c r="E52" s="173" t="s">
        <v>275</v>
      </c>
      <c r="F52" s="173" t="s">
        <v>276</v>
      </c>
      <c r="G52" s="173" t="s">
        <v>277</v>
      </c>
      <c r="H52" s="173" t="s">
        <v>278</v>
      </c>
      <c r="I52" s="173" t="s">
        <v>279</v>
      </c>
      <c r="J52" s="173" t="s">
        <v>280</v>
      </c>
      <c r="K52" s="173" t="s">
        <v>281</v>
      </c>
      <c r="L52" s="173" t="s">
        <v>282</v>
      </c>
      <c r="M52" s="173" t="s">
        <v>283</v>
      </c>
      <c r="N52" s="173" t="s">
        <v>284</v>
      </c>
      <c r="O52" s="173" t="s">
        <v>285</v>
      </c>
      <c r="P52" s="173" t="s">
        <v>286</v>
      </c>
      <c r="Q52" s="173" t="s">
        <v>287</v>
      </c>
      <c r="R52" s="173" t="s">
        <v>288</v>
      </c>
    </row>
    <row r="53" spans="1:26" s="175" customFormat="1">
      <c r="A53" s="405" t="s">
        <v>575</v>
      </c>
      <c r="B53" s="406">
        <v>14960.077569999947</v>
      </c>
      <c r="C53" s="172"/>
      <c r="D53" s="172"/>
      <c r="E53" s="406">
        <v>118.54209999999998</v>
      </c>
      <c r="F53" s="406">
        <v>890.05677000000003</v>
      </c>
      <c r="G53" s="406">
        <v>107.97989000000001</v>
      </c>
      <c r="H53" s="172"/>
      <c r="I53" s="406">
        <v>1121.6980100000001</v>
      </c>
      <c r="J53" s="172"/>
      <c r="K53" s="172"/>
      <c r="L53" s="406">
        <v>1766.301059999998</v>
      </c>
      <c r="M53" s="172"/>
      <c r="N53" s="406">
        <v>1672.5644299999976</v>
      </c>
      <c r="O53" s="172"/>
      <c r="P53" s="406">
        <v>11.85421</v>
      </c>
      <c r="Q53" s="406">
        <v>23.42708</v>
      </c>
      <c r="R53" s="406">
        <v>9247.6540200000218</v>
      </c>
    </row>
    <row r="54" spans="1:26">
      <c r="E54" s="128">
        <f>E53/$B53</f>
        <v>7.923896079103045E-3</v>
      </c>
      <c r="F54" s="128">
        <f t="shared" ref="F54:R54" si="22">F53/$B53</f>
        <v>5.9495464902191895E-2</v>
      </c>
      <c r="G54" s="128">
        <f t="shared" si="22"/>
        <v>7.2178696597493914E-3</v>
      </c>
      <c r="H54" s="128">
        <f t="shared" si="22"/>
        <v>0</v>
      </c>
      <c r="I54" s="128">
        <f t="shared" si="22"/>
        <v>7.4979424722328103E-2</v>
      </c>
      <c r="J54" s="128">
        <f t="shared" si="22"/>
        <v>0</v>
      </c>
      <c r="K54" s="128">
        <f t="shared" si="22"/>
        <v>0</v>
      </c>
      <c r="L54" s="128">
        <f t="shared" si="22"/>
        <v>0.11806764047413988</v>
      </c>
      <c r="M54" s="128">
        <f t="shared" si="22"/>
        <v>0</v>
      </c>
      <c r="N54" s="128">
        <f t="shared" si="22"/>
        <v>0.11180185544987141</v>
      </c>
      <c r="O54" s="128">
        <f t="shared" si="22"/>
        <v>0</v>
      </c>
      <c r="P54" s="128">
        <f t="shared" si="22"/>
        <v>7.9238960791030457E-4</v>
      </c>
      <c r="Q54" s="128">
        <f t="shared" si="22"/>
        <v>1.5659731636003865E-3</v>
      </c>
      <c r="R54" s="128">
        <f t="shared" si="22"/>
        <v>0.61815548594111036</v>
      </c>
    </row>
    <row r="55" spans="1:26" ht="15">
      <c r="B55" s="138" t="s">
        <v>289</v>
      </c>
      <c r="G55"/>
      <c r="I55"/>
    </row>
    <row r="56" spans="1:26">
      <c r="C56" s="75">
        <v>2012</v>
      </c>
      <c r="D56" s="75">
        <v>2013</v>
      </c>
      <c r="E56" s="75">
        <v>2014</v>
      </c>
      <c r="F56" s="75">
        <v>2015</v>
      </c>
      <c r="G56" s="75">
        <v>2016</v>
      </c>
      <c r="H56" s="75">
        <v>2017</v>
      </c>
      <c r="I56" s="75">
        <v>2018</v>
      </c>
      <c r="J56" s="75">
        <v>2019</v>
      </c>
      <c r="K56" s="75">
        <v>2020</v>
      </c>
      <c r="L56" s="75">
        <v>2021</v>
      </c>
      <c r="M56" s="75">
        <v>2022</v>
      </c>
      <c r="N56" s="75">
        <v>2023</v>
      </c>
      <c r="O56" s="75">
        <v>2024</v>
      </c>
      <c r="P56" s="75">
        <v>2025</v>
      </c>
      <c r="Q56" s="75">
        <v>2026</v>
      </c>
      <c r="R56" s="75">
        <v>2027</v>
      </c>
      <c r="S56" s="75">
        <v>2028</v>
      </c>
      <c r="T56" s="75">
        <v>2029</v>
      </c>
      <c r="U56" s="75">
        <v>2030</v>
      </c>
      <c r="V56" s="75">
        <v>2031</v>
      </c>
      <c r="W56" s="75">
        <v>2032</v>
      </c>
      <c r="X56" s="75">
        <v>2033</v>
      </c>
      <c r="Y56" s="75">
        <v>2034</v>
      </c>
      <c r="Z56" s="75">
        <v>2035</v>
      </c>
    </row>
    <row r="57" spans="1:26">
      <c r="C57" s="75" t="s">
        <v>18</v>
      </c>
      <c r="D57" s="72" t="s">
        <v>19</v>
      </c>
      <c r="E57" s="72" t="s">
        <v>20</v>
      </c>
      <c r="F57" s="72" t="s">
        <v>21</v>
      </c>
      <c r="G57" s="72" t="s">
        <v>22</v>
      </c>
      <c r="H57" s="72" t="s">
        <v>23</v>
      </c>
      <c r="I57" s="72" t="s">
        <v>24</v>
      </c>
      <c r="J57" s="72" t="s">
        <v>25</v>
      </c>
      <c r="K57" s="72" t="s">
        <v>26</v>
      </c>
      <c r="L57" s="72" t="s">
        <v>27</v>
      </c>
      <c r="M57" s="72" t="s">
        <v>28</v>
      </c>
      <c r="N57" s="72" t="s">
        <v>29</v>
      </c>
      <c r="O57" s="72" t="s">
        <v>30</v>
      </c>
      <c r="P57" s="72" t="s">
        <v>31</v>
      </c>
      <c r="Q57" s="72" t="s">
        <v>32</v>
      </c>
      <c r="R57" s="72" t="s">
        <v>33</v>
      </c>
      <c r="S57" s="72" t="s">
        <v>34</v>
      </c>
      <c r="T57" s="72" t="s">
        <v>35</v>
      </c>
      <c r="U57" s="72" t="s">
        <v>36</v>
      </c>
      <c r="V57" s="72" t="s">
        <v>123</v>
      </c>
      <c r="W57" s="72" t="s">
        <v>245</v>
      </c>
      <c r="X57" s="72" t="s">
        <v>246</v>
      </c>
      <c r="Y57" s="72" t="s">
        <v>247</v>
      </c>
      <c r="Z57" s="72" t="s">
        <v>248</v>
      </c>
    </row>
    <row r="58" spans="1:26">
      <c r="A58" s="133">
        <f>R54</f>
        <v>0.61815548594111036</v>
      </c>
      <c r="B58" t="s">
        <v>125</v>
      </c>
      <c r="C58" s="34">
        <f>C$49*$A58</f>
        <v>21051.320506842341</v>
      </c>
      <c r="D58" s="34">
        <f t="shared" ref="D58:S64" si="23">D$49*$A58</f>
        <v>20906.81485091498</v>
      </c>
      <c r="E58" s="34">
        <f t="shared" si="23"/>
        <v>20762.309194987622</v>
      </c>
      <c r="F58" s="34">
        <f t="shared" si="23"/>
        <v>20617.803539060256</v>
      </c>
      <c r="G58" s="34">
        <f t="shared" si="23"/>
        <v>20473.297883132898</v>
      </c>
      <c r="H58" s="34">
        <f t="shared" si="23"/>
        <v>20328.792227205537</v>
      </c>
      <c r="I58" s="34">
        <f t="shared" si="23"/>
        <v>20184.286571278179</v>
      </c>
      <c r="J58" s="34">
        <f t="shared" si="23"/>
        <v>20039.780915350813</v>
      </c>
      <c r="K58" s="34">
        <f t="shared" si="23"/>
        <v>19895.275259423455</v>
      </c>
      <c r="L58" s="34">
        <f t="shared" si="23"/>
        <v>20188.698897925766</v>
      </c>
      <c r="M58" s="34">
        <f t="shared" si="23"/>
        <v>20482.122536428076</v>
      </c>
      <c r="N58" s="34">
        <f t="shared" si="23"/>
        <v>20775.546174930387</v>
      </c>
      <c r="O58" s="34">
        <f t="shared" si="23"/>
        <v>21068.969813432701</v>
      </c>
      <c r="P58" s="34">
        <f t="shared" si="23"/>
        <v>21362.393451935008</v>
      </c>
      <c r="Q58" s="34">
        <f t="shared" si="23"/>
        <v>21655.817090437318</v>
      </c>
      <c r="R58" s="34">
        <f t="shared" si="23"/>
        <v>21949.240728939632</v>
      </c>
      <c r="S58" s="34">
        <f t="shared" si="23"/>
        <v>22242.664367441943</v>
      </c>
      <c r="T58" s="34">
        <f t="shared" ref="S58:Z64" si="24">T$49*$A58</f>
        <v>22536.088005944257</v>
      </c>
      <c r="U58" s="34">
        <f t="shared" si="24"/>
        <v>22829.511644446568</v>
      </c>
      <c r="V58" s="34">
        <f t="shared" si="24"/>
        <v>23122.935282948882</v>
      </c>
      <c r="W58" s="34">
        <f t="shared" si="24"/>
        <v>23416.358921451192</v>
      </c>
      <c r="X58" s="34">
        <f t="shared" si="24"/>
        <v>23709.782559953499</v>
      </c>
      <c r="Y58" s="34">
        <f t="shared" si="24"/>
        <v>24003.206198455813</v>
      </c>
      <c r="Z58" s="34">
        <f t="shared" si="24"/>
        <v>24296.629836958124</v>
      </c>
    </row>
    <row r="59" spans="1:26">
      <c r="A59" s="133">
        <f>G54</f>
        <v>7.2178696597493914E-3</v>
      </c>
      <c r="B59" t="s">
        <v>225</v>
      </c>
      <c r="C59" s="34">
        <f t="shared" ref="C59:C64" si="25">C$49*$A59</f>
        <v>245.8049649962548</v>
      </c>
      <c r="D59" s="34">
        <f t="shared" si="23"/>
        <v>244.11765005154905</v>
      </c>
      <c r="E59" s="34">
        <f t="shared" si="23"/>
        <v>242.4303351068433</v>
      </c>
      <c r="F59" s="34">
        <f t="shared" si="23"/>
        <v>240.74302016213753</v>
      </c>
      <c r="G59" s="34">
        <f t="shared" si="23"/>
        <v>239.05570521743181</v>
      </c>
      <c r="H59" s="34">
        <f t="shared" si="23"/>
        <v>237.36839027272603</v>
      </c>
      <c r="I59" s="34">
        <f t="shared" si="23"/>
        <v>235.68107532802031</v>
      </c>
      <c r="J59" s="34">
        <f t="shared" si="23"/>
        <v>233.99376038331454</v>
      </c>
      <c r="K59" s="34">
        <f t="shared" si="23"/>
        <v>232.30644543860879</v>
      </c>
      <c r="L59" s="34">
        <f t="shared" si="23"/>
        <v>235.73259569686417</v>
      </c>
      <c r="M59" s="34">
        <f t="shared" si="23"/>
        <v>239.15874595511949</v>
      </c>
      <c r="N59" s="34">
        <f t="shared" si="23"/>
        <v>242.58489621337489</v>
      </c>
      <c r="O59" s="34">
        <f t="shared" si="23"/>
        <v>246.01104647163027</v>
      </c>
      <c r="P59" s="34">
        <f t="shared" si="23"/>
        <v>249.43719672988559</v>
      </c>
      <c r="Q59" s="34">
        <f t="shared" si="23"/>
        <v>252.86334698814093</v>
      </c>
      <c r="R59" s="34">
        <f t="shared" si="23"/>
        <v>256.28949724639631</v>
      </c>
      <c r="S59" s="34">
        <f t="shared" si="24"/>
        <v>259.71564750465171</v>
      </c>
      <c r="T59" s="34">
        <f t="shared" si="24"/>
        <v>263.14179776290706</v>
      </c>
      <c r="U59" s="34">
        <f t="shared" si="24"/>
        <v>266.56794802116247</v>
      </c>
      <c r="V59" s="34">
        <f t="shared" si="24"/>
        <v>269.99409827941787</v>
      </c>
      <c r="W59" s="34">
        <f t="shared" si="24"/>
        <v>273.42024853767316</v>
      </c>
      <c r="X59" s="34">
        <f t="shared" si="24"/>
        <v>276.84639879592851</v>
      </c>
      <c r="Y59" s="34">
        <f t="shared" si="24"/>
        <v>280.27254905418391</v>
      </c>
      <c r="Z59" s="34">
        <f t="shared" si="24"/>
        <v>283.69869931243926</v>
      </c>
    </row>
    <row r="60" spans="1:26">
      <c r="A60" s="133">
        <f>I54</f>
        <v>7.4979424722328103E-2</v>
      </c>
      <c r="B60" s="26" t="s">
        <v>230</v>
      </c>
      <c r="C60" s="34">
        <f t="shared" si="25"/>
        <v>2553.4286067935304</v>
      </c>
      <c r="D60" s="34">
        <f t="shared" si="23"/>
        <v>2535.9007336338182</v>
      </c>
      <c r="E60" s="34">
        <f t="shared" si="23"/>
        <v>2518.3728604741054</v>
      </c>
      <c r="F60" s="34">
        <f t="shared" si="23"/>
        <v>2500.8449873143927</v>
      </c>
      <c r="G60" s="34">
        <f t="shared" si="23"/>
        <v>2483.3171141546809</v>
      </c>
      <c r="H60" s="34">
        <f t="shared" si="23"/>
        <v>2465.7892409949677</v>
      </c>
      <c r="I60" s="34">
        <f t="shared" si="23"/>
        <v>2448.2613678352559</v>
      </c>
      <c r="J60" s="34">
        <f t="shared" si="23"/>
        <v>2430.7334946755432</v>
      </c>
      <c r="K60" s="34">
        <f t="shared" si="23"/>
        <v>2413.2056215158309</v>
      </c>
      <c r="L60" s="34">
        <f t="shared" si="23"/>
        <v>2448.7965628165307</v>
      </c>
      <c r="M60" s="34">
        <f t="shared" si="23"/>
        <v>2484.3875041172305</v>
      </c>
      <c r="N60" s="34">
        <f t="shared" si="23"/>
        <v>2519.9784454179303</v>
      </c>
      <c r="O60" s="34">
        <f t="shared" si="23"/>
        <v>2555.5693867186305</v>
      </c>
      <c r="P60" s="34">
        <f t="shared" si="23"/>
        <v>2591.1603280193299</v>
      </c>
      <c r="Q60" s="34">
        <f t="shared" si="23"/>
        <v>2626.7512693200297</v>
      </c>
      <c r="R60" s="34">
        <f t="shared" si="23"/>
        <v>2662.3422106207295</v>
      </c>
      <c r="S60" s="34">
        <f t="shared" si="24"/>
        <v>2697.9331519214297</v>
      </c>
      <c r="T60" s="34">
        <f t="shared" si="24"/>
        <v>2733.5240932221295</v>
      </c>
      <c r="U60" s="34">
        <f t="shared" si="24"/>
        <v>2769.1150345228298</v>
      </c>
      <c r="V60" s="34">
        <f t="shared" si="24"/>
        <v>2804.7059758235296</v>
      </c>
      <c r="W60" s="34">
        <f t="shared" si="24"/>
        <v>2840.2969171242294</v>
      </c>
      <c r="X60" s="34">
        <f t="shared" si="24"/>
        <v>2875.8878584249287</v>
      </c>
      <c r="Y60" s="34">
        <f t="shared" si="24"/>
        <v>2911.478799725629</v>
      </c>
      <c r="Z60" s="34">
        <f t="shared" si="24"/>
        <v>2947.0697410263288</v>
      </c>
    </row>
    <row r="61" spans="1:26">
      <c r="A61" s="133">
        <f>F54</f>
        <v>5.9495464902191895E-2</v>
      </c>
      <c r="B61" s="26" t="s">
        <v>231</v>
      </c>
      <c r="C61" s="34">
        <f t="shared" si="25"/>
        <v>2026.121467567059</v>
      </c>
      <c r="D61" s="34">
        <f t="shared" si="23"/>
        <v>2012.2132658671171</v>
      </c>
      <c r="E61" s="34">
        <f t="shared" si="23"/>
        <v>1998.3050641671755</v>
      </c>
      <c r="F61" s="34">
        <f t="shared" si="23"/>
        <v>1984.3968624672332</v>
      </c>
      <c r="G61" s="34">
        <f t="shared" si="23"/>
        <v>1970.4886607672918</v>
      </c>
      <c r="H61" s="34">
        <f t="shared" si="23"/>
        <v>1956.5804590673497</v>
      </c>
      <c r="I61" s="34">
        <f t="shared" si="23"/>
        <v>1942.6722573674081</v>
      </c>
      <c r="J61" s="34">
        <f t="shared" si="23"/>
        <v>1928.7640556674662</v>
      </c>
      <c r="K61" s="34">
        <f t="shared" si="23"/>
        <v>1914.8558539675244</v>
      </c>
      <c r="L61" s="34">
        <f t="shared" si="23"/>
        <v>1943.0969295270331</v>
      </c>
      <c r="M61" s="34">
        <f t="shared" si="23"/>
        <v>1971.3380050865417</v>
      </c>
      <c r="N61" s="34">
        <f t="shared" si="23"/>
        <v>1999.5790806460504</v>
      </c>
      <c r="O61" s="34">
        <f t="shared" si="23"/>
        <v>2027.8201562055592</v>
      </c>
      <c r="P61" s="34">
        <f t="shared" si="23"/>
        <v>2056.0612317650675</v>
      </c>
      <c r="Q61" s="34">
        <f t="shared" si="23"/>
        <v>2084.3023073245758</v>
      </c>
      <c r="R61" s="34">
        <f t="shared" si="23"/>
        <v>2112.5433828840851</v>
      </c>
      <c r="S61" s="34">
        <f t="shared" si="24"/>
        <v>2140.7844584435938</v>
      </c>
      <c r="T61" s="34">
        <f t="shared" si="24"/>
        <v>2169.0255340031026</v>
      </c>
      <c r="U61" s="34">
        <f t="shared" si="24"/>
        <v>2197.2666095626114</v>
      </c>
      <c r="V61" s="34">
        <f t="shared" si="24"/>
        <v>2225.5076851221202</v>
      </c>
      <c r="W61" s="34">
        <f t="shared" si="24"/>
        <v>2253.7487606816285</v>
      </c>
      <c r="X61" s="34">
        <f t="shared" si="24"/>
        <v>2281.9898362411368</v>
      </c>
      <c r="Y61" s="34">
        <f t="shared" si="24"/>
        <v>2310.230911800646</v>
      </c>
      <c r="Z61" s="34">
        <f t="shared" si="24"/>
        <v>2338.4719873601548</v>
      </c>
    </row>
    <row r="62" spans="1:26">
      <c r="A62" s="133">
        <f>E54+L54+N54</f>
        <v>0.23779339200311433</v>
      </c>
      <c r="B62" t="s">
        <v>224</v>
      </c>
      <c r="C62" s="34">
        <f t="shared" si="25"/>
        <v>8098.0675951546154</v>
      </c>
      <c r="D62" s="34">
        <f t="shared" si="23"/>
        <v>8042.4788462587176</v>
      </c>
      <c r="E62" s="34">
        <f t="shared" si="23"/>
        <v>7986.8900973628206</v>
      </c>
      <c r="F62" s="34">
        <f t="shared" si="23"/>
        <v>7931.3013484669209</v>
      </c>
      <c r="G62" s="34">
        <f t="shared" si="23"/>
        <v>7875.7125995710248</v>
      </c>
      <c r="H62" s="34">
        <f t="shared" si="23"/>
        <v>7820.1238506751261</v>
      </c>
      <c r="I62" s="34">
        <f t="shared" si="23"/>
        <v>7764.5351017792291</v>
      </c>
      <c r="J62" s="34">
        <f t="shared" si="23"/>
        <v>7708.9463528833303</v>
      </c>
      <c r="K62" s="34">
        <f t="shared" si="23"/>
        <v>7653.3576039874333</v>
      </c>
      <c r="L62" s="34">
        <f t="shared" si="23"/>
        <v>7766.2324451564518</v>
      </c>
      <c r="M62" s="34">
        <f t="shared" si="23"/>
        <v>7879.1072863254694</v>
      </c>
      <c r="N62" s="34">
        <f t="shared" si="23"/>
        <v>7991.9821274944879</v>
      </c>
      <c r="O62" s="34">
        <f t="shared" si="23"/>
        <v>8104.8569686635074</v>
      </c>
      <c r="P62" s="34">
        <f t="shared" si="23"/>
        <v>8217.731809832525</v>
      </c>
      <c r="Q62" s="34">
        <f t="shared" si="23"/>
        <v>8330.6066510015426</v>
      </c>
      <c r="R62" s="34">
        <f t="shared" si="23"/>
        <v>8443.4814921705602</v>
      </c>
      <c r="S62" s="34">
        <f t="shared" si="24"/>
        <v>8556.3563333395796</v>
      </c>
      <c r="T62" s="34">
        <f t="shared" si="24"/>
        <v>8669.231174508599</v>
      </c>
      <c r="U62" s="34">
        <f t="shared" si="24"/>
        <v>8782.1060156776184</v>
      </c>
      <c r="V62" s="34">
        <f t="shared" si="24"/>
        <v>8894.980856846636</v>
      </c>
      <c r="W62" s="34">
        <f t="shared" si="24"/>
        <v>9007.8556980156536</v>
      </c>
      <c r="X62" s="34">
        <f t="shared" si="24"/>
        <v>9120.7305391846712</v>
      </c>
      <c r="Y62" s="34">
        <f t="shared" si="24"/>
        <v>9233.6053803536906</v>
      </c>
      <c r="Z62" s="34">
        <f t="shared" si="24"/>
        <v>9346.4802215227101</v>
      </c>
    </row>
    <row r="63" spans="1:26">
      <c r="A63" s="133">
        <f>P54+Q54</f>
        <v>2.358362771510691E-3</v>
      </c>
      <c r="B63" s="26" t="s">
        <v>229</v>
      </c>
      <c r="C63" s="34">
        <f t="shared" si="25"/>
        <v>80.314179366849814</v>
      </c>
      <c r="D63" s="34">
        <f t="shared" si="23"/>
        <v>79.762867007803166</v>
      </c>
      <c r="E63" s="34">
        <f t="shared" si="23"/>
        <v>79.211554648756518</v>
      </c>
      <c r="F63" s="34">
        <f t="shared" si="23"/>
        <v>78.660242289709856</v>
      </c>
      <c r="G63" s="34">
        <f t="shared" si="23"/>
        <v>78.108929930663223</v>
      </c>
      <c r="H63" s="34">
        <f t="shared" si="23"/>
        <v>77.557617571616561</v>
      </c>
      <c r="I63" s="34">
        <f t="shared" si="23"/>
        <v>77.006305212569927</v>
      </c>
      <c r="J63" s="34">
        <f t="shared" si="23"/>
        <v>76.454992853523265</v>
      </c>
      <c r="K63" s="34">
        <f t="shared" si="23"/>
        <v>75.903680494476632</v>
      </c>
      <c r="L63" s="34">
        <f t="shared" si="23"/>
        <v>77.023138949611962</v>
      </c>
      <c r="M63" s="34">
        <f t="shared" si="23"/>
        <v>78.142597404747278</v>
      </c>
      <c r="N63" s="34">
        <f t="shared" si="23"/>
        <v>79.262055859882608</v>
      </c>
      <c r="O63" s="34">
        <f t="shared" si="23"/>
        <v>80.381514315017938</v>
      </c>
      <c r="P63" s="34">
        <f t="shared" si="23"/>
        <v>81.500972770153254</v>
      </c>
      <c r="Q63" s="34">
        <f t="shared" si="23"/>
        <v>82.62043122528857</v>
      </c>
      <c r="R63" s="34">
        <f t="shared" si="23"/>
        <v>83.7398896804239</v>
      </c>
      <c r="S63" s="34">
        <f t="shared" si="24"/>
        <v>84.85934813555923</v>
      </c>
      <c r="T63" s="34">
        <f t="shared" si="24"/>
        <v>85.97880659069456</v>
      </c>
      <c r="U63" s="34">
        <f t="shared" si="24"/>
        <v>87.098265045829891</v>
      </c>
      <c r="V63" s="34">
        <f t="shared" si="24"/>
        <v>88.217723500965221</v>
      </c>
      <c r="W63" s="34">
        <f t="shared" si="24"/>
        <v>89.337181956100537</v>
      </c>
      <c r="X63" s="34">
        <f t="shared" si="24"/>
        <v>90.456640411235853</v>
      </c>
      <c r="Y63" s="34">
        <f t="shared" si="24"/>
        <v>91.576098866371183</v>
      </c>
      <c r="Z63" s="34">
        <f t="shared" si="24"/>
        <v>92.695557321506513</v>
      </c>
    </row>
    <row r="64" spans="1:26">
      <c r="A64" s="133">
        <f>SUM(A58:A63)</f>
        <v>1.0000000000000047</v>
      </c>
      <c r="B64" s="53"/>
      <c r="C64" s="34">
        <f t="shared" si="25"/>
        <v>34055.057320720647</v>
      </c>
      <c r="D64" s="34">
        <f t="shared" si="23"/>
        <v>33821.288213733984</v>
      </c>
      <c r="E64" s="34">
        <f t="shared" si="23"/>
        <v>33587.519106747321</v>
      </c>
      <c r="F64" s="34">
        <f t="shared" si="23"/>
        <v>33353.749999760643</v>
      </c>
      <c r="G64" s="34">
        <f t="shared" si="23"/>
        <v>33119.980892773987</v>
      </c>
      <c r="H64" s="34">
        <f t="shared" si="23"/>
        <v>32886.211785787316</v>
      </c>
      <c r="I64" s="34">
        <f t="shared" si="23"/>
        <v>32652.442678800657</v>
      </c>
      <c r="J64" s="34">
        <f t="shared" si="23"/>
        <v>32418.67357181399</v>
      </c>
      <c r="K64" s="34">
        <f t="shared" si="23"/>
        <v>32184.904464827323</v>
      </c>
      <c r="L64" s="34">
        <f t="shared" si="23"/>
        <v>32659.580570072256</v>
      </c>
      <c r="M64" s="34">
        <f t="shared" si="23"/>
        <v>33134.256675317178</v>
      </c>
      <c r="N64" s="34">
        <f t="shared" si="23"/>
        <v>33608.932780562114</v>
      </c>
      <c r="O64" s="34">
        <f t="shared" si="23"/>
        <v>34083.608885807043</v>
      </c>
      <c r="P64" s="34">
        <f t="shared" si="23"/>
        <v>34558.284991051965</v>
      </c>
      <c r="Q64" s="34">
        <f t="shared" si="23"/>
        <v>35032.961096296887</v>
      </c>
      <c r="R64" s="34">
        <f t="shared" si="23"/>
        <v>35507.637201541824</v>
      </c>
      <c r="S64" s="34">
        <f t="shared" si="24"/>
        <v>35982.313306786753</v>
      </c>
      <c r="T64" s="34">
        <f t="shared" si="24"/>
        <v>36456.989412031682</v>
      </c>
      <c r="U64" s="34">
        <f t="shared" si="24"/>
        <v>36931.665517276619</v>
      </c>
      <c r="V64" s="34">
        <f t="shared" si="24"/>
        <v>37406.341622521548</v>
      </c>
      <c r="W64" s="34">
        <f t="shared" si="24"/>
        <v>37881.01772776647</v>
      </c>
      <c r="X64" s="34">
        <f t="shared" si="24"/>
        <v>38355.693833011399</v>
      </c>
      <c r="Y64" s="34">
        <f t="shared" si="24"/>
        <v>38830.369938256328</v>
      </c>
      <c r="Z64" s="34">
        <f t="shared" si="24"/>
        <v>39305.046043501257</v>
      </c>
    </row>
    <row r="67" spans="1:26">
      <c r="A67" s="26" t="s">
        <v>408</v>
      </c>
      <c r="G67"/>
      <c r="I67"/>
    </row>
    <row r="68" spans="1:26">
      <c r="B68" s="26" t="s">
        <v>576</v>
      </c>
      <c r="C68" s="26" t="s">
        <v>622</v>
      </c>
      <c r="G68"/>
      <c r="I68"/>
    </row>
    <row r="69" spans="1:26">
      <c r="B69" s="250">
        <f>20000/C49</f>
        <v>0.58728428531615429</v>
      </c>
      <c r="C69">
        <f>B69*C58</f>
        <v>12363.109718822207</v>
      </c>
      <c r="G69"/>
      <c r="I69"/>
    </row>
    <row r="70" spans="1:26">
      <c r="A70" s="5" t="s">
        <v>367</v>
      </c>
      <c r="G70"/>
      <c r="I70"/>
    </row>
    <row r="71" spans="1:26">
      <c r="A71" s="26" t="s">
        <v>366</v>
      </c>
      <c r="B71" s="26" t="s">
        <v>411</v>
      </c>
      <c r="G71"/>
      <c r="I71"/>
    </row>
    <row r="72" spans="1:26">
      <c r="B72" s="249">
        <v>300</v>
      </c>
      <c r="C72" s="349">
        <f t="shared" ref="C72:Z72" si="26">$B$69*C58*$B$72</f>
        <v>3708932.915646662</v>
      </c>
      <c r="D72" s="349">
        <f t="shared" si="26"/>
        <v>3683473.1453870297</v>
      </c>
      <c r="E72" s="34">
        <f t="shared" si="26"/>
        <v>3658013.375127397</v>
      </c>
      <c r="F72" s="34">
        <f t="shared" si="26"/>
        <v>3632553.6048677638</v>
      </c>
      <c r="G72" s="34">
        <f t="shared" si="26"/>
        <v>3607093.8346081316</v>
      </c>
      <c r="H72" s="34">
        <f t="shared" si="26"/>
        <v>3581634.0643484988</v>
      </c>
      <c r="I72" s="34">
        <f t="shared" si="26"/>
        <v>3556174.2940888666</v>
      </c>
      <c r="J72" s="34">
        <f t="shared" si="26"/>
        <v>3530714.5238292329</v>
      </c>
      <c r="K72" s="34">
        <f t="shared" si="26"/>
        <v>3505254.7535696011</v>
      </c>
      <c r="L72" s="34">
        <f t="shared" si="26"/>
        <v>3556951.6811194094</v>
      </c>
      <c r="M72" s="34">
        <f t="shared" si="26"/>
        <v>3608648.6086692177</v>
      </c>
      <c r="N72" s="34">
        <f t="shared" si="26"/>
        <v>3660345.5362190264</v>
      </c>
      <c r="O72" s="34">
        <f t="shared" si="26"/>
        <v>3712042.4637688356</v>
      </c>
      <c r="P72" s="34">
        <f t="shared" si="26"/>
        <v>3763739.3913186439</v>
      </c>
      <c r="Q72" s="34">
        <f t="shared" si="26"/>
        <v>3815436.3188684522</v>
      </c>
      <c r="R72" s="34">
        <f t="shared" si="26"/>
        <v>3867133.2464182614</v>
      </c>
      <c r="S72" s="34">
        <f t="shared" si="26"/>
        <v>3918830.1739680697</v>
      </c>
      <c r="T72" s="34">
        <f t="shared" si="26"/>
        <v>3970527.1015178785</v>
      </c>
      <c r="U72" s="34">
        <f t="shared" si="26"/>
        <v>4022224.0290676872</v>
      </c>
      <c r="V72" s="34">
        <f t="shared" si="26"/>
        <v>4073920.9566174964</v>
      </c>
      <c r="W72" s="34">
        <f t="shared" si="26"/>
        <v>4125617.8841673052</v>
      </c>
      <c r="X72" s="34">
        <f t="shared" si="26"/>
        <v>4177314.811717113</v>
      </c>
      <c r="Y72" s="34">
        <f t="shared" si="26"/>
        <v>4229011.7392669227</v>
      </c>
      <c r="Z72" s="34">
        <f t="shared" si="26"/>
        <v>4280708.6668167301</v>
      </c>
    </row>
    <row r="73" spans="1:26">
      <c r="A73" s="26" t="s">
        <v>412</v>
      </c>
      <c r="G73"/>
      <c r="I73"/>
    </row>
    <row r="74" spans="1:26">
      <c r="A74" s="248">
        <v>0.01</v>
      </c>
      <c r="B74" s="54" t="s">
        <v>425</v>
      </c>
      <c r="E74" s="208">
        <f t="shared" ref="E74" si="27">E72*$A$74</f>
        <v>36580.13375127397</v>
      </c>
      <c r="F74" s="208">
        <f t="shared" ref="F74:Z74" si="28">F72*$A$74</f>
        <v>36325.536048677641</v>
      </c>
      <c r="G74" s="208">
        <f t="shared" si="28"/>
        <v>36070.938346081319</v>
      </c>
      <c r="H74" s="208">
        <f t="shared" si="28"/>
        <v>35816.340643484989</v>
      </c>
      <c r="I74" s="208">
        <f t="shared" si="28"/>
        <v>35561.742940888667</v>
      </c>
      <c r="J74" s="208">
        <f t="shared" si="28"/>
        <v>35307.145238292331</v>
      </c>
      <c r="K74" s="208">
        <f t="shared" si="28"/>
        <v>35052.547535696009</v>
      </c>
      <c r="L74" s="208">
        <f t="shared" si="28"/>
        <v>35569.516811194095</v>
      </c>
      <c r="M74" s="208">
        <f t="shared" si="28"/>
        <v>36086.486086692181</v>
      </c>
      <c r="N74" s="208">
        <f t="shared" si="28"/>
        <v>36603.455362190267</v>
      </c>
      <c r="O74" s="208">
        <f t="shared" si="28"/>
        <v>37120.42463768836</v>
      </c>
      <c r="P74" s="208">
        <f t="shared" si="28"/>
        <v>37637.393913186439</v>
      </c>
      <c r="Q74" s="208">
        <f t="shared" si="28"/>
        <v>38154.363188684525</v>
      </c>
      <c r="R74" s="208">
        <f t="shared" si="28"/>
        <v>38671.332464182618</v>
      </c>
      <c r="S74" s="208">
        <f t="shared" si="28"/>
        <v>39188.301739680697</v>
      </c>
      <c r="T74" s="208">
        <f t="shared" si="28"/>
        <v>39705.271015178783</v>
      </c>
      <c r="U74" s="208">
        <f t="shared" si="28"/>
        <v>40222.240290676877</v>
      </c>
      <c r="V74" s="208">
        <f t="shared" si="28"/>
        <v>40739.209566174963</v>
      </c>
      <c r="W74" s="208">
        <f t="shared" si="28"/>
        <v>41256.178841673056</v>
      </c>
      <c r="X74" s="208">
        <f t="shared" si="28"/>
        <v>41773.148117171128</v>
      </c>
      <c r="Y74" s="208">
        <f t="shared" si="28"/>
        <v>42290.117392669228</v>
      </c>
      <c r="Z74" s="208">
        <f t="shared" si="28"/>
        <v>42807.0866681673</v>
      </c>
    </row>
    <row r="75" spans="1:26">
      <c r="A75" s="248">
        <v>0.01</v>
      </c>
      <c r="B75" s="78" t="s">
        <v>418</v>
      </c>
      <c r="E75" s="208">
        <f t="shared" ref="E75" si="29">E72*$A$75</f>
        <v>36580.13375127397</v>
      </c>
      <c r="F75" s="208">
        <f t="shared" ref="F75:Z75" si="30">F72*$A$75</f>
        <v>36325.536048677641</v>
      </c>
      <c r="G75" s="208">
        <f t="shared" si="30"/>
        <v>36070.938346081319</v>
      </c>
      <c r="H75" s="208">
        <f t="shared" si="30"/>
        <v>35816.340643484989</v>
      </c>
      <c r="I75" s="208">
        <f t="shared" si="30"/>
        <v>35561.742940888667</v>
      </c>
      <c r="J75" s="208">
        <f t="shared" si="30"/>
        <v>35307.145238292331</v>
      </c>
      <c r="K75" s="208">
        <f t="shared" si="30"/>
        <v>35052.547535696009</v>
      </c>
      <c r="L75" s="208">
        <f t="shared" si="30"/>
        <v>35569.516811194095</v>
      </c>
      <c r="M75" s="208">
        <f t="shared" si="30"/>
        <v>36086.486086692181</v>
      </c>
      <c r="N75" s="208">
        <f t="shared" si="30"/>
        <v>36603.455362190267</v>
      </c>
      <c r="O75" s="208">
        <f t="shared" si="30"/>
        <v>37120.42463768836</v>
      </c>
      <c r="P75" s="208">
        <f t="shared" si="30"/>
        <v>37637.393913186439</v>
      </c>
      <c r="Q75" s="208">
        <f t="shared" si="30"/>
        <v>38154.363188684525</v>
      </c>
      <c r="R75" s="208">
        <f t="shared" si="30"/>
        <v>38671.332464182618</v>
      </c>
      <c r="S75" s="208">
        <f t="shared" si="30"/>
        <v>39188.301739680697</v>
      </c>
      <c r="T75" s="208">
        <f t="shared" si="30"/>
        <v>39705.271015178783</v>
      </c>
      <c r="U75" s="208">
        <f t="shared" si="30"/>
        <v>40222.240290676877</v>
      </c>
      <c r="V75" s="208">
        <f t="shared" si="30"/>
        <v>40739.209566174963</v>
      </c>
      <c r="W75" s="208">
        <f t="shared" si="30"/>
        <v>41256.178841673056</v>
      </c>
      <c r="X75" s="208">
        <f t="shared" si="30"/>
        <v>41773.148117171128</v>
      </c>
      <c r="Y75" s="208">
        <f t="shared" si="30"/>
        <v>42290.117392669228</v>
      </c>
      <c r="Z75" s="208">
        <f t="shared" si="30"/>
        <v>42807.0866681673</v>
      </c>
    </row>
    <row r="76" spans="1:26">
      <c r="A76" s="70"/>
      <c r="B76" s="26"/>
      <c r="G76"/>
      <c r="I76"/>
    </row>
    <row r="77" spans="1:26">
      <c r="A77" s="5" t="s">
        <v>277</v>
      </c>
      <c r="G77"/>
      <c r="I77"/>
    </row>
    <row r="78" spans="1:26">
      <c r="A78" s="70" t="s">
        <v>366</v>
      </c>
      <c r="B78" s="26" t="s">
        <v>411</v>
      </c>
      <c r="C78" s="208"/>
      <c r="D78" s="208"/>
      <c r="E78" s="208"/>
      <c r="F78" s="208"/>
      <c r="G78" s="208"/>
      <c r="H78" s="208"/>
      <c r="I78" s="208"/>
      <c r="J78" s="208"/>
      <c r="K78" s="208"/>
      <c r="L78" s="208"/>
      <c r="M78" s="208"/>
      <c r="N78" s="208"/>
      <c r="O78" s="208"/>
      <c r="P78" s="208"/>
      <c r="Q78" s="208"/>
      <c r="R78" s="208"/>
      <c r="S78" s="208"/>
      <c r="T78" s="208"/>
      <c r="U78" s="208"/>
      <c r="V78" s="208"/>
      <c r="W78" s="208"/>
      <c r="X78" s="208"/>
      <c r="Y78" s="208"/>
      <c r="Z78" s="208"/>
    </row>
    <row r="79" spans="1:26">
      <c r="A79" s="70"/>
      <c r="B79" s="249">
        <v>300</v>
      </c>
      <c r="C79" s="349">
        <f>$B79*$B69*C59</f>
        <v>43307.217958496345</v>
      </c>
      <c r="D79" s="349">
        <f t="shared" ref="D79:E79" si="31">$B79*$B69*D59</f>
        <v>43009.937893074908</v>
      </c>
      <c r="E79" s="34">
        <f t="shared" si="31"/>
        <v>42712.657827653478</v>
      </c>
      <c r="F79" s="34">
        <f t="shared" ref="F79:Z79" si="32">$B79*$B69*F59</f>
        <v>42415.377762232034</v>
      </c>
      <c r="G79" s="34">
        <f t="shared" si="32"/>
        <v>42118.097696810604</v>
      </c>
      <c r="H79" s="34">
        <f t="shared" si="32"/>
        <v>41820.817631389167</v>
      </c>
      <c r="I79" s="34">
        <f t="shared" si="32"/>
        <v>41523.537565967737</v>
      </c>
      <c r="J79" s="34">
        <f t="shared" si="32"/>
        <v>41226.2575005463</v>
      </c>
      <c r="K79" s="34">
        <f t="shared" si="32"/>
        <v>40928.977435124863</v>
      </c>
      <c r="L79" s="34">
        <f t="shared" si="32"/>
        <v>41532.614696866447</v>
      </c>
      <c r="M79" s="34">
        <f t="shared" si="32"/>
        <v>42136.251958608016</v>
      </c>
      <c r="N79" s="34">
        <f t="shared" si="32"/>
        <v>42739.8892203496</v>
      </c>
      <c r="O79" s="34">
        <f t="shared" si="32"/>
        <v>43343.526482091176</v>
      </c>
      <c r="P79" s="34">
        <f t="shared" si="32"/>
        <v>43947.163743832745</v>
      </c>
      <c r="Q79" s="34">
        <f t="shared" si="32"/>
        <v>44550.801005574322</v>
      </c>
      <c r="R79" s="34">
        <f t="shared" si="32"/>
        <v>45154.438267315905</v>
      </c>
      <c r="S79" s="34">
        <f t="shared" si="32"/>
        <v>45758.075529057489</v>
      </c>
      <c r="T79" s="34">
        <f t="shared" si="32"/>
        <v>46361.712790799065</v>
      </c>
      <c r="U79" s="34">
        <f t="shared" si="32"/>
        <v>46965.350052540649</v>
      </c>
      <c r="V79" s="34">
        <f t="shared" si="32"/>
        <v>47568.987314282233</v>
      </c>
      <c r="W79" s="34">
        <f t="shared" si="32"/>
        <v>48172.624576023794</v>
      </c>
      <c r="X79" s="34">
        <f t="shared" si="32"/>
        <v>48776.261837765371</v>
      </c>
      <c r="Y79" s="34">
        <f t="shared" si="32"/>
        <v>49379.899099506954</v>
      </c>
      <c r="Z79" s="34">
        <f t="shared" si="32"/>
        <v>49983.536361248531</v>
      </c>
    </row>
    <row r="80" spans="1:26">
      <c r="A80" s="70"/>
      <c r="B80" s="249"/>
      <c r="C80" s="349"/>
      <c r="D80" s="349"/>
      <c r="E80" s="349"/>
      <c r="F80" s="349"/>
      <c r="G80" s="349"/>
      <c r="H80" s="349"/>
      <c r="I80" s="349"/>
      <c r="J80" s="349"/>
      <c r="K80" s="349"/>
      <c r="L80" s="349"/>
      <c r="M80" s="349"/>
      <c r="N80" s="349"/>
      <c r="O80" s="349"/>
      <c r="P80" s="349"/>
      <c r="Q80" s="349"/>
      <c r="R80" s="349"/>
      <c r="S80" s="349"/>
      <c r="T80" s="349"/>
      <c r="U80" s="349"/>
      <c r="V80" s="349"/>
      <c r="W80" s="349"/>
      <c r="X80" s="349"/>
      <c r="Y80" s="349"/>
      <c r="Z80" s="349"/>
    </row>
    <row r="81" spans="1:26">
      <c r="A81" s="248">
        <v>0.03</v>
      </c>
      <c r="B81" s="54" t="s">
        <v>433</v>
      </c>
      <c r="E81" s="208">
        <f>E79*$A$81</f>
        <v>1281.3797348296043</v>
      </c>
      <c r="F81" s="208">
        <f t="shared" ref="F81:Z81" si="33">F79*$A$81</f>
        <v>1272.4613328669609</v>
      </c>
      <c r="G81" s="208">
        <f t="shared" si="33"/>
        <v>1263.5429309043182</v>
      </c>
      <c r="H81" s="208">
        <f t="shared" si="33"/>
        <v>1254.624528941675</v>
      </c>
      <c r="I81" s="208">
        <f t="shared" si="33"/>
        <v>1245.706126979032</v>
      </c>
      <c r="J81" s="208">
        <f t="shared" si="33"/>
        <v>1236.787725016389</v>
      </c>
      <c r="K81" s="208">
        <f t="shared" si="33"/>
        <v>1227.8693230537458</v>
      </c>
      <c r="L81" s="208">
        <f t="shared" si="33"/>
        <v>1245.9784409059935</v>
      </c>
      <c r="M81" s="208">
        <f t="shared" si="33"/>
        <v>1264.0875587582404</v>
      </c>
      <c r="N81" s="208">
        <f t="shared" si="33"/>
        <v>1282.1966766104879</v>
      </c>
      <c r="O81" s="208">
        <f t="shared" si="33"/>
        <v>1300.3057944627353</v>
      </c>
      <c r="P81" s="208">
        <f t="shared" si="33"/>
        <v>1318.4149123149823</v>
      </c>
      <c r="Q81" s="208">
        <f t="shared" si="33"/>
        <v>1336.5240301672295</v>
      </c>
      <c r="R81" s="208">
        <f t="shared" si="33"/>
        <v>1354.6331480194772</v>
      </c>
      <c r="S81" s="208">
        <f t="shared" si="33"/>
        <v>1372.7422658717246</v>
      </c>
      <c r="T81" s="208">
        <f t="shared" si="33"/>
        <v>1390.8513837239718</v>
      </c>
      <c r="U81" s="208">
        <f t="shared" si="33"/>
        <v>1408.9605015762195</v>
      </c>
      <c r="V81" s="208">
        <f t="shared" si="33"/>
        <v>1427.0696194284669</v>
      </c>
      <c r="W81" s="208">
        <f t="shared" si="33"/>
        <v>1445.1787372807137</v>
      </c>
      <c r="X81" s="208">
        <f t="shared" si="33"/>
        <v>1463.2878551329611</v>
      </c>
      <c r="Y81" s="208">
        <f t="shared" si="33"/>
        <v>1481.3969729852085</v>
      </c>
      <c r="Z81" s="208">
        <f t="shared" si="33"/>
        <v>1499.5060908374558</v>
      </c>
    </row>
    <row r="82" spans="1:26">
      <c r="A82" s="248">
        <v>0.03</v>
      </c>
      <c r="B82" s="78" t="s">
        <v>427</v>
      </c>
      <c r="E82" s="208">
        <f>E79*$A$82</f>
        <v>1281.3797348296043</v>
      </c>
      <c r="F82" s="208">
        <f t="shared" ref="F82:Z82" si="34">F79*$A$82</f>
        <v>1272.4613328669609</v>
      </c>
      <c r="G82" s="208">
        <f t="shared" si="34"/>
        <v>1263.5429309043182</v>
      </c>
      <c r="H82" s="208">
        <f t="shared" si="34"/>
        <v>1254.624528941675</v>
      </c>
      <c r="I82" s="208">
        <f t="shared" si="34"/>
        <v>1245.706126979032</v>
      </c>
      <c r="J82" s="208">
        <f t="shared" si="34"/>
        <v>1236.787725016389</v>
      </c>
      <c r="K82" s="208">
        <f t="shared" si="34"/>
        <v>1227.8693230537458</v>
      </c>
      <c r="L82" s="208">
        <f t="shared" si="34"/>
        <v>1245.9784409059935</v>
      </c>
      <c r="M82" s="208">
        <f t="shared" si="34"/>
        <v>1264.0875587582404</v>
      </c>
      <c r="N82" s="208">
        <f t="shared" si="34"/>
        <v>1282.1966766104879</v>
      </c>
      <c r="O82" s="208">
        <f t="shared" si="34"/>
        <v>1300.3057944627353</v>
      </c>
      <c r="P82" s="208">
        <f t="shared" si="34"/>
        <v>1318.4149123149823</v>
      </c>
      <c r="Q82" s="208">
        <f t="shared" si="34"/>
        <v>1336.5240301672295</v>
      </c>
      <c r="R82" s="208">
        <f t="shared" si="34"/>
        <v>1354.6331480194772</v>
      </c>
      <c r="S82" s="208">
        <f t="shared" si="34"/>
        <v>1372.7422658717246</v>
      </c>
      <c r="T82" s="208">
        <f t="shared" si="34"/>
        <v>1390.8513837239718</v>
      </c>
      <c r="U82" s="208">
        <f t="shared" si="34"/>
        <v>1408.9605015762195</v>
      </c>
      <c r="V82" s="208">
        <f t="shared" si="34"/>
        <v>1427.0696194284669</v>
      </c>
      <c r="W82" s="208">
        <f t="shared" si="34"/>
        <v>1445.1787372807137</v>
      </c>
      <c r="X82" s="208">
        <f t="shared" si="34"/>
        <v>1463.2878551329611</v>
      </c>
      <c r="Y82" s="208">
        <f t="shared" si="34"/>
        <v>1481.3969729852085</v>
      </c>
      <c r="Z82" s="208">
        <f t="shared" si="34"/>
        <v>1499.5060908374558</v>
      </c>
    </row>
    <row r="83" spans="1:26">
      <c r="A83" s="70"/>
      <c r="B83" s="26"/>
      <c r="G83"/>
      <c r="I83"/>
    </row>
    <row r="84" spans="1:26">
      <c r="A84" s="5" t="s">
        <v>413</v>
      </c>
      <c r="B84" s="70" t="s">
        <v>456</v>
      </c>
      <c r="C84">
        <v>100</v>
      </c>
      <c r="G84"/>
      <c r="I84"/>
    </row>
    <row r="85" spans="1:26">
      <c r="A85" s="70"/>
      <c r="B85" s="26" t="s">
        <v>458</v>
      </c>
      <c r="C85">
        <v>5</v>
      </c>
      <c r="D85" s="126">
        <f>C85</f>
        <v>5</v>
      </c>
      <c r="E85" s="126">
        <f t="shared" ref="E85:W85" si="35">D85*1.01</f>
        <v>5.05</v>
      </c>
      <c r="F85" s="126">
        <f t="shared" si="35"/>
        <v>5.1005000000000003</v>
      </c>
      <c r="G85" s="126">
        <f t="shared" si="35"/>
        <v>5.1515050000000002</v>
      </c>
      <c r="H85" s="126">
        <f t="shared" si="35"/>
        <v>5.2030200500000001</v>
      </c>
      <c r="I85" s="126">
        <f t="shared" si="35"/>
        <v>5.2550502505000001</v>
      </c>
      <c r="J85" s="126">
        <f t="shared" si="35"/>
        <v>5.3076007530050004</v>
      </c>
      <c r="K85" s="126">
        <f t="shared" si="35"/>
        <v>5.3606767605350507</v>
      </c>
      <c r="L85" s="126">
        <f t="shared" si="35"/>
        <v>5.4142835281404009</v>
      </c>
      <c r="M85" s="126">
        <f t="shared" si="35"/>
        <v>5.4684263634218047</v>
      </c>
      <c r="N85" s="126">
        <f t="shared" si="35"/>
        <v>5.5231106270560231</v>
      </c>
      <c r="O85" s="126">
        <f t="shared" si="35"/>
        <v>5.5783417333265835</v>
      </c>
      <c r="P85" s="126">
        <f t="shared" si="35"/>
        <v>5.6341251506598491</v>
      </c>
      <c r="Q85" s="126">
        <f t="shared" si="35"/>
        <v>5.6904664021664475</v>
      </c>
      <c r="R85" s="126">
        <f t="shared" si="35"/>
        <v>5.7473710661881121</v>
      </c>
      <c r="S85" s="126">
        <f t="shared" si="35"/>
        <v>5.8048447768499933</v>
      </c>
      <c r="T85" s="126">
        <f t="shared" si="35"/>
        <v>5.8628932246184933</v>
      </c>
      <c r="U85" s="126">
        <f t="shared" si="35"/>
        <v>5.9215221568646781</v>
      </c>
      <c r="V85" s="126">
        <f t="shared" si="35"/>
        <v>5.9807373784333251</v>
      </c>
      <c r="W85" s="126">
        <f t="shared" si="35"/>
        <v>6.0405447522176585</v>
      </c>
      <c r="X85" s="126">
        <f t="shared" ref="X85" si="36">W85*1.01</f>
        <v>6.1009501997398354</v>
      </c>
      <c r="Y85" s="126">
        <f t="shared" ref="Y85" si="37">X85*1.01</f>
        <v>6.1619597017372341</v>
      </c>
      <c r="Z85" s="126">
        <f t="shared" ref="Z85" si="38">Y85*1.01</f>
        <v>6.2235792987546068</v>
      </c>
    </row>
    <row r="86" spans="1:26">
      <c r="A86" s="70"/>
      <c r="B86" s="26" t="s">
        <v>457</v>
      </c>
      <c r="C86">
        <v>365</v>
      </c>
      <c r="D86">
        <f>D85*$C$86*$C$84</f>
        <v>182500</v>
      </c>
      <c r="E86">
        <f t="shared" ref="E86:W86" si="39">E85*$C$86*$C$84</f>
        <v>184325</v>
      </c>
      <c r="F86">
        <f t="shared" si="39"/>
        <v>186168.25</v>
      </c>
      <c r="G86">
        <f t="shared" si="39"/>
        <v>188029.93250000002</v>
      </c>
      <c r="H86">
        <f t="shared" si="39"/>
        <v>189910.231825</v>
      </c>
      <c r="I86">
        <f t="shared" si="39"/>
        <v>191809.33414324999</v>
      </c>
      <c r="J86">
        <f t="shared" si="39"/>
        <v>193727.42748468253</v>
      </c>
      <c r="K86">
        <f t="shared" si="39"/>
        <v>195664.70175952936</v>
      </c>
      <c r="L86">
        <f t="shared" si="39"/>
        <v>197621.34877712463</v>
      </c>
      <c r="M86">
        <f t="shared" si="39"/>
        <v>199597.56226489588</v>
      </c>
      <c r="N86">
        <f t="shared" si="39"/>
        <v>201593.53788754484</v>
      </c>
      <c r="O86">
        <f t="shared" si="39"/>
        <v>203609.47326642027</v>
      </c>
      <c r="P86">
        <f t="shared" si="39"/>
        <v>205645.56799908451</v>
      </c>
      <c r="Q86">
        <f t="shared" si="39"/>
        <v>207702.02367907533</v>
      </c>
      <c r="R86">
        <f t="shared" si="39"/>
        <v>209779.04391586609</v>
      </c>
      <c r="S86">
        <f t="shared" si="39"/>
        <v>211876.83435502477</v>
      </c>
      <c r="T86">
        <f t="shared" si="39"/>
        <v>213995.60269857501</v>
      </c>
      <c r="U86">
        <f t="shared" si="39"/>
        <v>216135.55872556075</v>
      </c>
      <c r="V86">
        <f t="shared" si="39"/>
        <v>218296.91431281634</v>
      </c>
      <c r="W86">
        <f t="shared" si="39"/>
        <v>220479.88345594454</v>
      </c>
      <c r="X86">
        <f t="shared" ref="X86" si="40">X85*$C$86*$C$84</f>
        <v>222684.68229050399</v>
      </c>
      <c r="Y86">
        <f t="shared" ref="Y86" si="41">Y85*$C$86*$C$84</f>
        <v>224911.52911340905</v>
      </c>
      <c r="Z86">
        <f t="shared" ref="Z86" si="42">Z85*$C$86*$C$84</f>
        <v>227160.64440454316</v>
      </c>
    </row>
    <row r="87" spans="1:26">
      <c r="A87" s="70"/>
      <c r="B87" s="26"/>
      <c r="G87"/>
      <c r="I87"/>
    </row>
    <row r="88" spans="1:26">
      <c r="A88" s="70" t="s">
        <v>578</v>
      </c>
      <c r="B88" s="47" t="s">
        <v>95</v>
      </c>
      <c r="C88" s="89">
        <v>0.1</v>
      </c>
      <c r="D88">
        <f>D$86*$C88</f>
        <v>18250</v>
      </c>
      <c r="E88">
        <f t="shared" ref="E88:T94" si="43">E$86*$C88</f>
        <v>18432.5</v>
      </c>
      <c r="F88">
        <f t="shared" si="43"/>
        <v>18616.825000000001</v>
      </c>
      <c r="G88">
        <f t="shared" si="43"/>
        <v>18802.993250000003</v>
      </c>
      <c r="H88">
        <f t="shared" si="43"/>
        <v>18991.023182500001</v>
      </c>
      <c r="I88">
        <f t="shared" si="43"/>
        <v>19180.933414324998</v>
      </c>
      <c r="J88">
        <f t="shared" si="43"/>
        <v>19372.742748468252</v>
      </c>
      <c r="K88">
        <f t="shared" si="43"/>
        <v>19566.470175952938</v>
      </c>
      <c r="L88">
        <f t="shared" si="43"/>
        <v>19762.134877712466</v>
      </c>
      <c r="M88">
        <f t="shared" si="43"/>
        <v>19959.75622648959</v>
      </c>
      <c r="N88">
        <f t="shared" si="43"/>
        <v>20159.353788754484</v>
      </c>
      <c r="O88">
        <f t="shared" si="43"/>
        <v>20360.947326642028</v>
      </c>
      <c r="P88">
        <f t="shared" si="43"/>
        <v>20564.556799908452</v>
      </c>
      <c r="Q88">
        <f t="shared" si="43"/>
        <v>20770.202367907536</v>
      </c>
      <c r="R88">
        <f t="shared" si="43"/>
        <v>20977.90439158661</v>
      </c>
      <c r="S88">
        <f t="shared" si="43"/>
        <v>21187.683435502477</v>
      </c>
      <c r="T88">
        <f t="shared" si="43"/>
        <v>21399.560269857502</v>
      </c>
      <c r="U88">
        <f t="shared" ref="U88:Z94" si="44">U$86*$C88</f>
        <v>21613.555872556077</v>
      </c>
      <c r="V88">
        <f t="shared" si="44"/>
        <v>21829.691431281637</v>
      </c>
      <c r="W88">
        <f t="shared" si="44"/>
        <v>22047.988345594455</v>
      </c>
      <c r="X88">
        <f t="shared" si="44"/>
        <v>22268.468229050399</v>
      </c>
      <c r="Y88">
        <f t="shared" si="44"/>
        <v>22491.152911340905</v>
      </c>
      <c r="Z88">
        <f t="shared" si="44"/>
        <v>22716.064440454316</v>
      </c>
    </row>
    <row r="89" spans="1:26">
      <c r="A89" s="70"/>
      <c r="B89" s="78" t="s">
        <v>510</v>
      </c>
      <c r="C89" s="89">
        <v>0.15</v>
      </c>
      <c r="D89">
        <f t="shared" ref="D89:D94" si="45">D$86*$C89</f>
        <v>27375</v>
      </c>
      <c r="E89">
        <f t="shared" si="43"/>
        <v>27648.75</v>
      </c>
      <c r="F89">
        <f t="shared" si="43"/>
        <v>27925.237499999999</v>
      </c>
      <c r="G89">
        <f t="shared" si="43"/>
        <v>28204.489875000003</v>
      </c>
      <c r="H89">
        <f t="shared" si="43"/>
        <v>28486.534773749998</v>
      </c>
      <c r="I89">
        <f t="shared" si="43"/>
        <v>28771.400121487499</v>
      </c>
      <c r="J89">
        <f t="shared" si="43"/>
        <v>29059.11412270238</v>
      </c>
      <c r="K89">
        <f t="shared" si="43"/>
        <v>29349.705263929402</v>
      </c>
      <c r="L89">
        <f t="shared" si="43"/>
        <v>29643.202316568691</v>
      </c>
      <c r="M89">
        <f t="shared" si="43"/>
        <v>29939.634339734381</v>
      </c>
      <c r="N89">
        <f t="shared" si="43"/>
        <v>30239.030683131725</v>
      </c>
      <c r="O89">
        <f t="shared" si="43"/>
        <v>30541.42098996304</v>
      </c>
      <c r="P89">
        <f t="shared" si="43"/>
        <v>30846.835199862675</v>
      </c>
      <c r="Q89">
        <f t="shared" si="43"/>
        <v>31155.303551861296</v>
      </c>
      <c r="R89">
        <f t="shared" si="43"/>
        <v>31466.856587379913</v>
      </c>
      <c r="S89">
        <f t="shared" si="43"/>
        <v>31781.525153253715</v>
      </c>
      <c r="T89">
        <f t="shared" si="43"/>
        <v>32099.34040478625</v>
      </c>
      <c r="U89">
        <f t="shared" si="44"/>
        <v>32420.333808834112</v>
      </c>
      <c r="V89">
        <f t="shared" si="44"/>
        <v>32744.537146922448</v>
      </c>
      <c r="W89">
        <f t="shared" si="44"/>
        <v>33071.982518391676</v>
      </c>
      <c r="X89">
        <f t="shared" si="44"/>
        <v>33402.702343575598</v>
      </c>
      <c r="Y89">
        <f t="shared" si="44"/>
        <v>33736.729367011358</v>
      </c>
      <c r="Z89">
        <f t="shared" si="44"/>
        <v>34074.096660681469</v>
      </c>
    </row>
    <row r="90" spans="1:26">
      <c r="A90" s="70"/>
      <c r="B90" s="47" t="s">
        <v>148</v>
      </c>
      <c r="C90" s="89">
        <v>0.15</v>
      </c>
      <c r="D90">
        <f t="shared" si="45"/>
        <v>27375</v>
      </c>
      <c r="E90">
        <f t="shared" si="43"/>
        <v>27648.75</v>
      </c>
      <c r="F90">
        <f t="shared" si="43"/>
        <v>27925.237499999999</v>
      </c>
      <c r="G90">
        <f t="shared" si="43"/>
        <v>28204.489875000003</v>
      </c>
      <c r="H90">
        <f t="shared" si="43"/>
        <v>28486.534773749998</v>
      </c>
      <c r="I90">
        <f t="shared" si="43"/>
        <v>28771.400121487499</v>
      </c>
      <c r="J90">
        <f t="shared" si="43"/>
        <v>29059.11412270238</v>
      </c>
      <c r="K90">
        <f t="shared" si="43"/>
        <v>29349.705263929402</v>
      </c>
      <c r="L90">
        <f t="shared" si="43"/>
        <v>29643.202316568691</v>
      </c>
      <c r="M90">
        <f t="shared" si="43"/>
        <v>29939.634339734381</v>
      </c>
      <c r="N90">
        <f t="shared" si="43"/>
        <v>30239.030683131725</v>
      </c>
      <c r="O90">
        <f t="shared" si="43"/>
        <v>30541.42098996304</v>
      </c>
      <c r="P90">
        <f t="shared" si="43"/>
        <v>30846.835199862675</v>
      </c>
      <c r="Q90">
        <f t="shared" si="43"/>
        <v>31155.303551861296</v>
      </c>
      <c r="R90">
        <f t="shared" si="43"/>
        <v>31466.856587379913</v>
      </c>
      <c r="S90">
        <f t="shared" si="43"/>
        <v>31781.525153253715</v>
      </c>
      <c r="T90">
        <f t="shared" si="43"/>
        <v>32099.34040478625</v>
      </c>
      <c r="U90">
        <f t="shared" si="44"/>
        <v>32420.333808834112</v>
      </c>
      <c r="V90">
        <f t="shared" si="44"/>
        <v>32744.537146922448</v>
      </c>
      <c r="W90">
        <f t="shared" si="44"/>
        <v>33071.982518391676</v>
      </c>
      <c r="X90">
        <f t="shared" si="44"/>
        <v>33402.702343575598</v>
      </c>
      <c r="Y90">
        <f t="shared" si="44"/>
        <v>33736.729367011358</v>
      </c>
      <c r="Z90">
        <f t="shared" si="44"/>
        <v>34074.096660681469</v>
      </c>
    </row>
    <row r="91" spans="1:26">
      <c r="A91" s="70"/>
      <c r="B91" s="78" t="s">
        <v>437</v>
      </c>
      <c r="C91" s="89">
        <v>0.1</v>
      </c>
      <c r="D91">
        <f t="shared" si="45"/>
        <v>18250</v>
      </c>
      <c r="E91">
        <f t="shared" si="43"/>
        <v>18432.5</v>
      </c>
      <c r="F91">
        <f t="shared" si="43"/>
        <v>18616.825000000001</v>
      </c>
      <c r="G91">
        <f t="shared" si="43"/>
        <v>18802.993250000003</v>
      </c>
      <c r="H91">
        <f t="shared" si="43"/>
        <v>18991.023182500001</v>
      </c>
      <c r="I91">
        <f t="shared" si="43"/>
        <v>19180.933414324998</v>
      </c>
      <c r="J91">
        <f t="shared" si="43"/>
        <v>19372.742748468252</v>
      </c>
      <c r="K91">
        <f t="shared" si="43"/>
        <v>19566.470175952938</v>
      </c>
      <c r="L91">
        <f t="shared" si="43"/>
        <v>19762.134877712466</v>
      </c>
      <c r="M91">
        <f t="shared" si="43"/>
        <v>19959.75622648959</v>
      </c>
      <c r="N91">
        <f t="shared" si="43"/>
        <v>20159.353788754484</v>
      </c>
      <c r="O91">
        <f t="shared" si="43"/>
        <v>20360.947326642028</v>
      </c>
      <c r="P91">
        <f t="shared" si="43"/>
        <v>20564.556799908452</v>
      </c>
      <c r="Q91">
        <f t="shared" si="43"/>
        <v>20770.202367907536</v>
      </c>
      <c r="R91">
        <f t="shared" si="43"/>
        <v>20977.90439158661</v>
      </c>
      <c r="S91">
        <f t="shared" si="43"/>
        <v>21187.683435502477</v>
      </c>
      <c r="T91">
        <f t="shared" si="43"/>
        <v>21399.560269857502</v>
      </c>
      <c r="U91">
        <f t="shared" si="44"/>
        <v>21613.555872556077</v>
      </c>
      <c r="V91">
        <f t="shared" si="44"/>
        <v>21829.691431281637</v>
      </c>
      <c r="W91">
        <f t="shared" si="44"/>
        <v>22047.988345594455</v>
      </c>
      <c r="X91">
        <f t="shared" si="44"/>
        <v>22268.468229050399</v>
      </c>
      <c r="Y91">
        <f t="shared" si="44"/>
        <v>22491.152911340905</v>
      </c>
      <c r="Z91">
        <f t="shared" si="44"/>
        <v>22716.064440454316</v>
      </c>
    </row>
    <row r="92" spans="1:26">
      <c r="A92" s="70"/>
      <c r="B92" s="47" t="s">
        <v>152</v>
      </c>
      <c r="C92" s="89">
        <v>0.1</v>
      </c>
      <c r="D92">
        <f t="shared" si="45"/>
        <v>18250</v>
      </c>
      <c r="E92">
        <f t="shared" si="43"/>
        <v>18432.5</v>
      </c>
      <c r="F92">
        <f t="shared" si="43"/>
        <v>18616.825000000001</v>
      </c>
      <c r="G92">
        <f t="shared" si="43"/>
        <v>18802.993250000003</v>
      </c>
      <c r="H92">
        <f t="shared" si="43"/>
        <v>18991.023182500001</v>
      </c>
      <c r="I92">
        <f t="shared" si="43"/>
        <v>19180.933414324998</v>
      </c>
      <c r="J92">
        <f t="shared" si="43"/>
        <v>19372.742748468252</v>
      </c>
      <c r="K92">
        <f t="shared" si="43"/>
        <v>19566.470175952938</v>
      </c>
      <c r="L92">
        <f t="shared" si="43"/>
        <v>19762.134877712466</v>
      </c>
      <c r="M92">
        <f t="shared" si="43"/>
        <v>19959.75622648959</v>
      </c>
      <c r="N92">
        <f t="shared" si="43"/>
        <v>20159.353788754484</v>
      </c>
      <c r="O92">
        <f t="shared" si="43"/>
        <v>20360.947326642028</v>
      </c>
      <c r="P92">
        <f t="shared" si="43"/>
        <v>20564.556799908452</v>
      </c>
      <c r="Q92">
        <f t="shared" si="43"/>
        <v>20770.202367907536</v>
      </c>
      <c r="R92">
        <f t="shared" si="43"/>
        <v>20977.90439158661</v>
      </c>
      <c r="S92">
        <f t="shared" si="43"/>
        <v>21187.683435502477</v>
      </c>
      <c r="T92">
        <f t="shared" si="43"/>
        <v>21399.560269857502</v>
      </c>
      <c r="U92">
        <f t="shared" si="44"/>
        <v>21613.555872556077</v>
      </c>
      <c r="V92">
        <f t="shared" si="44"/>
        <v>21829.691431281637</v>
      </c>
      <c r="W92">
        <f t="shared" si="44"/>
        <v>22047.988345594455</v>
      </c>
      <c r="X92">
        <f t="shared" si="44"/>
        <v>22268.468229050399</v>
      </c>
      <c r="Y92">
        <f t="shared" si="44"/>
        <v>22491.152911340905</v>
      </c>
      <c r="Z92">
        <f t="shared" si="44"/>
        <v>22716.064440454316</v>
      </c>
    </row>
    <row r="93" spans="1:26">
      <c r="A93" s="70" t="s">
        <v>577</v>
      </c>
      <c r="B93" s="78" t="s">
        <v>442</v>
      </c>
      <c r="C93" s="89">
        <v>0.2</v>
      </c>
      <c r="D93">
        <f t="shared" si="45"/>
        <v>36500</v>
      </c>
      <c r="E93">
        <f t="shared" si="43"/>
        <v>36865</v>
      </c>
      <c r="F93">
        <f t="shared" si="43"/>
        <v>37233.65</v>
      </c>
      <c r="G93">
        <f t="shared" si="43"/>
        <v>37605.986500000006</v>
      </c>
      <c r="H93">
        <f t="shared" si="43"/>
        <v>37982.046365000002</v>
      </c>
      <c r="I93">
        <f t="shared" si="43"/>
        <v>38361.866828649996</v>
      </c>
      <c r="J93">
        <f t="shared" si="43"/>
        <v>38745.485496936504</v>
      </c>
      <c r="K93">
        <f t="shared" si="43"/>
        <v>39132.940351905876</v>
      </c>
      <c r="L93">
        <f t="shared" si="43"/>
        <v>39524.269755424932</v>
      </c>
      <c r="M93">
        <f t="shared" si="43"/>
        <v>39919.512452979179</v>
      </c>
      <c r="N93">
        <f t="shared" si="43"/>
        <v>40318.707577508969</v>
      </c>
      <c r="O93">
        <f t="shared" si="43"/>
        <v>40721.894653284056</v>
      </c>
      <c r="P93">
        <f t="shared" si="43"/>
        <v>41129.113599816905</v>
      </c>
      <c r="Q93">
        <f t="shared" si="43"/>
        <v>41540.404735815071</v>
      </c>
      <c r="R93">
        <f t="shared" si="43"/>
        <v>41955.808783173219</v>
      </c>
      <c r="S93">
        <f t="shared" si="43"/>
        <v>42375.366871004953</v>
      </c>
      <c r="T93">
        <f t="shared" si="43"/>
        <v>42799.120539715004</v>
      </c>
      <c r="U93">
        <f t="shared" si="44"/>
        <v>43227.111745112154</v>
      </c>
      <c r="V93">
        <f t="shared" si="44"/>
        <v>43659.382862563274</v>
      </c>
      <c r="W93">
        <f t="shared" si="44"/>
        <v>44095.976691188909</v>
      </c>
      <c r="X93">
        <f t="shared" si="44"/>
        <v>44536.936458100798</v>
      </c>
      <c r="Y93">
        <f t="shared" si="44"/>
        <v>44982.30582268181</v>
      </c>
      <c r="Z93">
        <f t="shared" si="44"/>
        <v>45432.128880908633</v>
      </c>
    </row>
    <row r="94" spans="1:26">
      <c r="A94" s="70"/>
      <c r="B94" s="78" t="s">
        <v>474</v>
      </c>
      <c r="C94" s="89">
        <v>0.2</v>
      </c>
      <c r="D94">
        <f t="shared" si="45"/>
        <v>36500</v>
      </c>
      <c r="E94">
        <f t="shared" si="43"/>
        <v>36865</v>
      </c>
      <c r="F94">
        <f t="shared" si="43"/>
        <v>37233.65</v>
      </c>
      <c r="G94">
        <f t="shared" si="43"/>
        <v>37605.986500000006</v>
      </c>
      <c r="H94">
        <f t="shared" si="43"/>
        <v>37982.046365000002</v>
      </c>
      <c r="I94">
        <f t="shared" si="43"/>
        <v>38361.866828649996</v>
      </c>
      <c r="J94">
        <f t="shared" si="43"/>
        <v>38745.485496936504</v>
      </c>
      <c r="K94">
        <f t="shared" si="43"/>
        <v>39132.940351905876</v>
      </c>
      <c r="L94">
        <f t="shared" si="43"/>
        <v>39524.269755424932</v>
      </c>
      <c r="M94">
        <f t="shared" si="43"/>
        <v>39919.512452979179</v>
      </c>
      <c r="N94">
        <f t="shared" si="43"/>
        <v>40318.707577508969</v>
      </c>
      <c r="O94">
        <f t="shared" si="43"/>
        <v>40721.894653284056</v>
      </c>
      <c r="P94">
        <f t="shared" si="43"/>
        <v>41129.113599816905</v>
      </c>
      <c r="Q94">
        <f t="shared" si="43"/>
        <v>41540.404735815071</v>
      </c>
      <c r="R94">
        <f t="shared" si="43"/>
        <v>41955.808783173219</v>
      </c>
      <c r="S94">
        <f t="shared" si="43"/>
        <v>42375.366871004953</v>
      </c>
      <c r="T94">
        <f t="shared" si="43"/>
        <v>42799.120539715004</v>
      </c>
      <c r="U94">
        <f t="shared" si="44"/>
        <v>43227.111745112154</v>
      </c>
      <c r="V94">
        <f t="shared" si="44"/>
        <v>43659.382862563274</v>
      </c>
      <c r="W94">
        <f t="shared" si="44"/>
        <v>44095.976691188909</v>
      </c>
      <c r="X94">
        <f t="shared" si="44"/>
        <v>44536.936458100798</v>
      </c>
      <c r="Y94">
        <f t="shared" si="44"/>
        <v>44982.30582268181</v>
      </c>
      <c r="Z94">
        <f t="shared" si="44"/>
        <v>45432.128880908633</v>
      </c>
    </row>
    <row r="95" spans="1:26">
      <c r="A95" s="70"/>
      <c r="C95" s="274">
        <f>SUM(C88:C94)</f>
        <v>1</v>
      </c>
      <c r="G95"/>
      <c r="I95"/>
    </row>
    <row r="121" spans="1:10" ht="15.75">
      <c r="A121" s="526" t="s">
        <v>353</v>
      </c>
      <c r="B121" s="526"/>
      <c r="C121" s="526"/>
      <c r="D121" s="526"/>
      <c r="E121" s="526"/>
      <c r="F121" s="526"/>
    </row>
    <row r="122" spans="1:10" ht="15.75">
      <c r="A122" s="526" t="s">
        <v>354</v>
      </c>
      <c r="B122" s="526"/>
      <c r="C122" s="526"/>
      <c r="D122" s="526"/>
      <c r="E122" s="526"/>
      <c r="F122" s="526"/>
      <c r="G122" s="200" t="s">
        <v>355</v>
      </c>
      <c r="I122" s="200" t="s">
        <v>356</v>
      </c>
    </row>
    <row r="123" spans="1:10" ht="13.5" thickBot="1">
      <c r="G123" s="200" t="s">
        <v>358</v>
      </c>
      <c r="H123" s="200" t="s">
        <v>357</v>
      </c>
      <c r="J123" s="200" t="s">
        <v>357</v>
      </c>
    </row>
    <row r="124" spans="1:10" ht="16.5" thickTop="1" thickBot="1">
      <c r="A124" s="180" t="s">
        <v>332</v>
      </c>
      <c r="B124" s="181" t="s">
        <v>333</v>
      </c>
      <c r="C124" s="182" t="s">
        <v>334</v>
      </c>
      <c r="D124" s="183" t="s">
        <v>335</v>
      </c>
      <c r="E124" s="184" t="s">
        <v>336</v>
      </c>
      <c r="F124" s="185" t="s">
        <v>337</v>
      </c>
      <c r="H124" s="209">
        <v>7.9199999999999995E-4</v>
      </c>
      <c r="J124" s="210">
        <v>-4.9959999999999997E-2</v>
      </c>
    </row>
    <row r="125" spans="1:10" ht="15.75" thickTop="1">
      <c r="A125" s="192" t="s">
        <v>338</v>
      </c>
      <c r="B125" s="186" t="s">
        <v>339</v>
      </c>
      <c r="C125" s="187" t="s">
        <v>340</v>
      </c>
      <c r="D125" s="188">
        <v>26855</v>
      </c>
      <c r="E125" s="186">
        <v>27262</v>
      </c>
      <c r="F125" s="187">
        <v>16330</v>
      </c>
      <c r="G125" s="74">
        <f>E125-D125</f>
        <v>407</v>
      </c>
      <c r="H125" s="208">
        <f>D125*((1+H124)^19)</f>
        <v>27262.007533725468</v>
      </c>
      <c r="I125" s="74">
        <f>F125-E125</f>
        <v>-10932</v>
      </c>
      <c r="J125" s="208">
        <f>E125*((1+J124)^10)</f>
        <v>16329.640483630154</v>
      </c>
    </row>
    <row r="126" spans="1:10" ht="15">
      <c r="A126" s="201"/>
      <c r="B126" s="202"/>
      <c r="C126" s="203"/>
      <c r="D126" s="204"/>
      <c r="E126" s="202"/>
      <c r="F126" s="203"/>
      <c r="H126" s="209">
        <v>5.1219999999999998E-3</v>
      </c>
      <c r="J126" s="209">
        <v>-3.2870000000000003E-2</v>
      </c>
    </row>
    <row r="127" spans="1:10" ht="15.75" thickBot="1">
      <c r="A127" s="193"/>
      <c r="B127" s="189" t="s">
        <v>341</v>
      </c>
      <c r="C127" s="190" t="s">
        <v>342</v>
      </c>
      <c r="D127" s="191">
        <v>27156</v>
      </c>
      <c r="E127" s="189">
        <v>29924</v>
      </c>
      <c r="F127" s="190">
        <v>21422</v>
      </c>
      <c r="G127" s="74">
        <f>E127-D127</f>
        <v>2768</v>
      </c>
      <c r="H127" s="208">
        <f>D127*((1+H126)^19)</f>
        <v>29924.20344850505</v>
      </c>
      <c r="I127" s="74">
        <f>F127-E127</f>
        <v>-8502</v>
      </c>
      <c r="J127" s="208">
        <f>E127*((1+J126)^10)</f>
        <v>21422.403616434149</v>
      </c>
    </row>
    <row r="128" spans="1:10" s="76" customFormat="1" ht="15.75" thickTop="1">
      <c r="A128" s="205"/>
      <c r="B128" s="206"/>
      <c r="C128" s="206"/>
      <c r="D128" s="206"/>
      <c r="E128" s="206"/>
      <c r="F128" s="206"/>
      <c r="G128" s="207"/>
      <c r="I128" s="207"/>
    </row>
    <row r="129" spans="1:2">
      <c r="B129" s="199" t="s">
        <v>352</v>
      </c>
    </row>
    <row r="130" spans="1:2">
      <c r="B130" s="199"/>
    </row>
    <row r="131" spans="1:2">
      <c r="B131" s="198"/>
    </row>
    <row r="132" spans="1:2">
      <c r="A132" t="s">
        <v>348</v>
      </c>
      <c r="B132" s="198"/>
    </row>
    <row r="133" spans="1:2">
      <c r="A133" t="s">
        <v>349</v>
      </c>
    </row>
    <row r="134" spans="1:2">
      <c r="A134" t="s">
        <v>350</v>
      </c>
    </row>
    <row r="135" spans="1:2">
      <c r="A135" t="s">
        <v>351</v>
      </c>
    </row>
  </sheetData>
  <mergeCells count="5">
    <mergeCell ref="B41:E41"/>
    <mergeCell ref="F41:I41"/>
    <mergeCell ref="A121:F121"/>
    <mergeCell ref="A122:F122"/>
    <mergeCell ref="A41:A42"/>
  </mergeCells>
  <conditionalFormatting sqref="T51:V51 D51:F51 X51:Z51 L51:N51 P51:R51 H51:J51">
    <cfRule type="cellIs" dxfId="0" priority="1" stopIfTrue="1" operator="lessThanOrEqual">
      <formula>-0.005</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sheetPr>
    <pageSetUpPr fitToPage="1"/>
  </sheetPr>
  <dimension ref="A1:AD198"/>
  <sheetViews>
    <sheetView topLeftCell="A67" zoomScale="75" zoomScaleNormal="75" workbookViewId="0">
      <selection activeCell="F194" sqref="F194"/>
    </sheetView>
  </sheetViews>
  <sheetFormatPr defaultRowHeight="12.75"/>
  <cols>
    <col min="1" max="1" width="18.28515625" customWidth="1"/>
    <col min="2" max="2" width="23.140625" customWidth="1"/>
    <col min="3" max="3" width="52.140625" style="53" customWidth="1"/>
    <col min="4" max="4" width="11.2851562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1.85546875" customWidth="1"/>
  </cols>
  <sheetData>
    <row r="1" spans="1:29" s="74" customFormat="1">
      <c r="A1" s="72"/>
      <c r="B1" s="72"/>
      <c r="C1" s="73"/>
      <c r="D1" s="223"/>
      <c r="E1" s="233"/>
      <c r="F1" s="75">
        <v>2012</v>
      </c>
      <c r="G1" s="75">
        <v>2013</v>
      </c>
      <c r="H1" s="75">
        <v>2014</v>
      </c>
      <c r="I1" s="75">
        <v>2015</v>
      </c>
      <c r="J1" s="75">
        <v>2016</v>
      </c>
      <c r="K1" s="75">
        <v>2017</v>
      </c>
      <c r="L1" s="75">
        <v>2018</v>
      </c>
      <c r="M1" s="75">
        <v>2019</v>
      </c>
      <c r="N1" s="75">
        <v>2020</v>
      </c>
      <c r="O1" s="75">
        <v>2021</v>
      </c>
      <c r="P1" s="75">
        <v>2022</v>
      </c>
      <c r="Q1" s="75">
        <v>2023</v>
      </c>
      <c r="R1" s="75">
        <v>2024</v>
      </c>
      <c r="S1" s="75">
        <v>2025</v>
      </c>
      <c r="T1" s="75">
        <v>2026</v>
      </c>
      <c r="U1" s="75">
        <v>2027</v>
      </c>
      <c r="V1" s="75">
        <v>2028</v>
      </c>
      <c r="W1" s="75">
        <v>2029</v>
      </c>
      <c r="X1" s="75">
        <v>2030</v>
      </c>
      <c r="Y1" s="75">
        <v>2031</v>
      </c>
      <c r="Z1" s="75">
        <v>2032</v>
      </c>
      <c r="AA1" s="75">
        <v>2033</v>
      </c>
      <c r="AB1" s="75">
        <v>2034</v>
      </c>
      <c r="AC1" s="75">
        <v>2035</v>
      </c>
    </row>
    <row r="2" spans="1:29" s="74" customFormat="1">
      <c r="A2" s="72"/>
      <c r="B2" s="72"/>
      <c r="C2" s="73"/>
      <c r="D2" s="224" t="s">
        <v>398</v>
      </c>
      <c r="E2" s="233"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245</v>
      </c>
      <c r="AA2" s="72" t="s">
        <v>246</v>
      </c>
      <c r="AB2" s="72" t="s">
        <v>247</v>
      </c>
      <c r="AC2" s="72" t="s">
        <v>248</v>
      </c>
    </row>
    <row r="3" spans="1:29">
      <c r="A3" s="69"/>
      <c r="B3" s="69"/>
      <c r="D3" s="225"/>
      <c r="E3" s="234"/>
      <c r="AC3" s="281"/>
    </row>
    <row r="4" spans="1:29">
      <c r="A4" s="41"/>
      <c r="B4" s="41"/>
      <c r="C4" s="45"/>
      <c r="D4" s="226"/>
      <c r="E4" s="234"/>
      <c r="AC4" s="281"/>
    </row>
    <row r="5" spans="1:29">
      <c r="A5" s="44" t="s">
        <v>221</v>
      </c>
      <c r="B5" s="44"/>
      <c r="C5" s="55" t="s">
        <v>405</v>
      </c>
      <c r="D5" s="226"/>
      <c r="E5" s="234"/>
      <c r="F5" s="312"/>
      <c r="G5" s="312"/>
      <c r="H5" s="312">
        <v>-4500</v>
      </c>
      <c r="I5" s="312">
        <v>-4500</v>
      </c>
      <c r="J5" s="312">
        <v>-4500</v>
      </c>
      <c r="K5" s="312">
        <v>-4500</v>
      </c>
      <c r="L5" s="312">
        <v>-4500</v>
      </c>
      <c r="M5" s="312">
        <v>-4500</v>
      </c>
      <c r="N5" s="312">
        <v>-4500</v>
      </c>
      <c r="O5" s="312">
        <v>-4500</v>
      </c>
      <c r="P5" s="312">
        <v>-4500</v>
      </c>
      <c r="Q5" s="312">
        <v>-4500</v>
      </c>
      <c r="R5" s="312">
        <v>-4500</v>
      </c>
      <c r="S5" s="312">
        <v>-4500</v>
      </c>
      <c r="T5" s="312">
        <v>-4500</v>
      </c>
      <c r="U5" s="312">
        <v>-4500</v>
      </c>
      <c r="V5" s="312">
        <v>-4500</v>
      </c>
      <c r="W5" s="312">
        <v>-4500</v>
      </c>
      <c r="X5" s="312">
        <v>-4500</v>
      </c>
      <c r="Y5" s="312">
        <v>-4500</v>
      </c>
      <c r="Z5" s="312">
        <v>-4500</v>
      </c>
      <c r="AA5" s="312">
        <v>-4500</v>
      </c>
      <c r="AB5" s="312">
        <v>-4500</v>
      </c>
      <c r="AC5" s="312">
        <v>-4500</v>
      </c>
    </row>
    <row r="6" spans="1:29">
      <c r="A6" s="44"/>
      <c r="B6" s="44"/>
      <c r="C6" s="55" t="s">
        <v>404</v>
      </c>
      <c r="D6" s="226"/>
      <c r="E6" s="234"/>
      <c r="F6" s="312"/>
      <c r="G6" s="312">
        <v>-275620</v>
      </c>
      <c r="H6" s="312">
        <v>-7980</v>
      </c>
      <c r="I6" s="312"/>
      <c r="J6" s="312"/>
      <c r="K6" s="312"/>
      <c r="L6" s="312"/>
      <c r="M6" s="312"/>
      <c r="N6" s="312"/>
      <c r="O6" s="312"/>
      <c r="P6" s="312"/>
      <c r="Q6" s="312"/>
      <c r="R6" s="312"/>
      <c r="S6" s="312"/>
      <c r="T6" s="312"/>
      <c r="U6" s="312"/>
      <c r="V6" s="312"/>
      <c r="W6" s="312"/>
      <c r="X6" s="312"/>
      <c r="Y6" s="312"/>
      <c r="Z6" s="312"/>
      <c r="AA6" s="312"/>
      <c r="AB6" s="312"/>
      <c r="AC6" s="312"/>
    </row>
    <row r="7" spans="1:29" s="112" customFormat="1" ht="12">
      <c r="A7" s="109"/>
      <c r="B7" s="109"/>
      <c r="C7" s="110"/>
      <c r="D7" s="227"/>
      <c r="E7" s="235"/>
      <c r="F7" s="111"/>
      <c r="G7" s="111"/>
      <c r="H7" s="111"/>
      <c r="I7" s="111"/>
      <c r="J7" s="111"/>
      <c r="K7" s="111"/>
      <c r="L7" s="111"/>
      <c r="M7" s="111"/>
      <c r="N7" s="111"/>
      <c r="O7" s="111"/>
      <c r="P7" s="111"/>
      <c r="Q7" s="111"/>
      <c r="R7" s="111"/>
      <c r="S7" s="111"/>
      <c r="T7" s="111"/>
      <c r="U7" s="111"/>
      <c r="V7" s="111"/>
      <c r="W7" s="111"/>
      <c r="X7" s="111"/>
      <c r="Y7" s="111"/>
      <c r="Z7" s="111"/>
      <c r="AC7" s="282"/>
    </row>
    <row r="8" spans="1:29" s="53" customFormat="1" ht="12">
      <c r="A8" s="58" t="s">
        <v>222</v>
      </c>
      <c r="B8" s="58"/>
      <c r="D8" s="228"/>
      <c r="E8" s="235"/>
      <c r="H8" s="59"/>
      <c r="I8" s="59"/>
      <c r="J8" s="59"/>
      <c r="K8" s="59"/>
      <c r="L8" s="59"/>
      <c r="M8" s="59"/>
      <c r="N8" s="59"/>
      <c r="O8" s="59"/>
      <c r="P8" s="59"/>
      <c r="Q8" s="59"/>
      <c r="R8" s="59"/>
      <c r="S8" s="59"/>
      <c r="T8" s="59"/>
      <c r="U8" s="59"/>
      <c r="V8" s="59"/>
      <c r="W8" s="59"/>
      <c r="X8" s="59"/>
      <c r="Y8" s="59"/>
      <c r="AC8" s="283"/>
    </row>
    <row r="9" spans="1:29" s="53" customFormat="1" ht="12">
      <c r="A9" s="58"/>
      <c r="B9" s="70"/>
      <c r="D9" s="228"/>
      <c r="E9" s="235"/>
      <c r="H9" s="59"/>
      <c r="I9" s="59"/>
      <c r="J9" s="59"/>
      <c r="K9" s="59"/>
      <c r="L9" s="59"/>
      <c r="M9" s="59"/>
      <c r="N9" s="59"/>
      <c r="O9" s="59"/>
      <c r="P9" s="59"/>
      <c r="Q9" s="59"/>
      <c r="R9" s="59"/>
      <c r="S9" s="59"/>
      <c r="T9" s="59"/>
      <c r="U9" s="59"/>
      <c r="V9" s="59"/>
      <c r="W9" s="59"/>
      <c r="X9" s="59"/>
      <c r="Y9" s="59"/>
      <c r="Z9" s="59"/>
      <c r="AA9" s="59"/>
      <c r="AB9" s="59"/>
      <c r="AC9" s="284"/>
    </row>
    <row r="10" spans="1:29" s="53" customFormat="1" ht="12">
      <c r="A10" s="58"/>
      <c r="B10" s="5" t="s">
        <v>277</v>
      </c>
      <c r="D10" s="228"/>
      <c r="E10" s="235"/>
      <c r="H10" s="59"/>
      <c r="I10" s="59"/>
      <c r="J10" s="59"/>
      <c r="K10" s="59"/>
      <c r="L10" s="59"/>
      <c r="M10" s="59"/>
      <c r="N10" s="59"/>
      <c r="O10" s="59"/>
      <c r="P10" s="59"/>
      <c r="Q10" s="59"/>
      <c r="R10" s="59"/>
      <c r="S10" s="59"/>
      <c r="T10" s="59"/>
      <c r="U10" s="59"/>
      <c r="V10" s="59"/>
      <c r="W10" s="59"/>
      <c r="X10" s="59"/>
      <c r="Y10" s="59"/>
      <c r="Z10" s="59"/>
      <c r="AA10" s="59"/>
      <c r="AB10" s="59"/>
      <c r="AC10" s="284"/>
    </row>
    <row r="11" spans="1:29" s="53" customFormat="1" ht="12">
      <c r="A11" s="58"/>
      <c r="B11" s="70" t="s">
        <v>463</v>
      </c>
      <c r="C11" s="70" t="s">
        <v>366</v>
      </c>
      <c r="D11" s="228"/>
      <c r="E11" s="235"/>
      <c r="F11" s="59"/>
      <c r="G11" s="59"/>
      <c r="H11" s="59">
        <f>'VRE Users'!F7</f>
        <v>14000</v>
      </c>
      <c r="I11" s="59">
        <f>'VRE Users'!G7</f>
        <v>14000</v>
      </c>
      <c r="J11" s="59">
        <f>'VRE Users'!H7</f>
        <v>14000</v>
      </c>
      <c r="K11" s="59">
        <f>'VRE Users'!I7</f>
        <v>14000</v>
      </c>
      <c r="L11" s="59">
        <f>'VRE Users'!J7</f>
        <v>14000</v>
      </c>
      <c r="M11" s="59">
        <f>'VRE Users'!K7</f>
        <v>14000</v>
      </c>
      <c r="N11" s="59">
        <f>'VRE Users'!L7</f>
        <v>14000</v>
      </c>
      <c r="O11" s="59">
        <f>'VRE Users'!M7</f>
        <v>14000</v>
      </c>
      <c r="P11" s="59">
        <f>'VRE Users'!N7</f>
        <v>14000</v>
      </c>
      <c r="Q11" s="59">
        <f>'VRE Users'!O7</f>
        <v>14000</v>
      </c>
      <c r="R11" s="59">
        <f>'VRE Users'!P7</f>
        <v>14000</v>
      </c>
      <c r="S11" s="59">
        <f>'VRE Users'!Q7</f>
        <v>14000</v>
      </c>
      <c r="T11" s="59">
        <f>'VRE Users'!R7</f>
        <v>14000</v>
      </c>
      <c r="U11" s="59">
        <f>'VRE Users'!S7</f>
        <v>14000</v>
      </c>
      <c r="V11" s="59">
        <f>'VRE Users'!T7</f>
        <v>14000</v>
      </c>
      <c r="W11" s="59">
        <f>'VRE Users'!U7</f>
        <v>14000</v>
      </c>
      <c r="X11" s="59">
        <f>'VRE Users'!V7</f>
        <v>14000</v>
      </c>
      <c r="Y11" s="59">
        <f>'VRE Users'!W7</f>
        <v>14000</v>
      </c>
      <c r="Z11" s="59">
        <f>'VRE Users'!X7</f>
        <v>14000</v>
      </c>
      <c r="AA11" s="59">
        <f>'VRE Users'!Y7</f>
        <v>14000</v>
      </c>
      <c r="AB11" s="59">
        <f>'VRE Users'!Z7</f>
        <v>14000</v>
      </c>
      <c r="AC11" s="59">
        <f>'VRE Users'!AA7</f>
        <v>14000</v>
      </c>
    </row>
    <row r="12" spans="1:29" s="53" customFormat="1" ht="12">
      <c r="A12" s="58"/>
      <c r="B12" s="70" t="s">
        <v>462</v>
      </c>
      <c r="C12" s="54" t="s">
        <v>433</v>
      </c>
      <c r="D12" s="228"/>
      <c r="E12" s="235"/>
      <c r="H12" s="59">
        <f>'VRE Users'!F8</f>
        <v>3325</v>
      </c>
      <c r="I12" s="59">
        <f>'VRE Users'!G8</f>
        <v>3657.5</v>
      </c>
      <c r="J12" s="59">
        <f>'VRE Users'!H8</f>
        <v>3996.6499999999996</v>
      </c>
      <c r="K12" s="59">
        <f>'VRE Users'!I8</f>
        <v>4342.5829999999996</v>
      </c>
      <c r="L12" s="59">
        <f>'VRE Users'!J8</f>
        <v>4695.4346599999999</v>
      </c>
      <c r="M12" s="59">
        <f>'VRE Users'!K8</f>
        <v>5055.3433532000008</v>
      </c>
      <c r="N12" s="59">
        <f>'VRE Users'!L8</f>
        <v>5422.4502202640042</v>
      </c>
      <c r="O12" s="59">
        <f>'VRE Users'!M8</f>
        <v>5796.8992246692806</v>
      </c>
      <c r="P12" s="59">
        <f>'VRE Users'!N8</f>
        <v>6178.8372091626698</v>
      </c>
      <c r="Q12" s="59">
        <f>'VRE Users'!O8</f>
        <v>6568.4139533459238</v>
      </c>
      <c r="R12" s="59">
        <f>'VRE Users'!P8</f>
        <v>6965.782232412841</v>
      </c>
      <c r="S12" s="59">
        <f>'VRE Users'!Q8</f>
        <v>7371.0978770610946</v>
      </c>
      <c r="T12" s="59">
        <f>'VRE Users'!R8</f>
        <v>7784.5198346023199</v>
      </c>
      <c r="U12" s="59">
        <f>'VRE Users'!S8</f>
        <v>8206.2102312943662</v>
      </c>
      <c r="V12" s="59">
        <f>'VRE Users'!T8</f>
        <v>8636.3344359202529</v>
      </c>
      <c r="W12" s="59">
        <f>'VRE Users'!U8</f>
        <v>9075.0611246386616</v>
      </c>
      <c r="X12" s="59">
        <f>'VRE Users'!V8</f>
        <v>9522.562347131432</v>
      </c>
      <c r="Y12" s="59">
        <f>'VRE Users'!W8</f>
        <v>9979.0135940740638</v>
      </c>
      <c r="Z12" s="59">
        <f>'VRE Users'!X8</f>
        <v>10444.593865955545</v>
      </c>
      <c r="AA12" s="59">
        <f>'VRE Users'!Y8</f>
        <v>10919.485743274652</v>
      </c>
      <c r="AB12" s="59">
        <f>'VRE Users'!Z8</f>
        <v>11403.87545814015</v>
      </c>
      <c r="AC12" s="59">
        <f>'VRE Users'!AA8</f>
        <v>11897.952967302954</v>
      </c>
    </row>
    <row r="13" spans="1:29" s="53" customFormat="1" ht="12">
      <c r="A13" s="58"/>
      <c r="B13" s="70"/>
      <c r="C13" s="78" t="s">
        <v>427</v>
      </c>
      <c r="D13" s="228"/>
      <c r="E13" s="235"/>
      <c r="H13" s="59">
        <f>'VRE Users'!F9</f>
        <v>175</v>
      </c>
      <c r="I13" s="59">
        <f>'VRE Users'!G9</f>
        <v>192.5</v>
      </c>
      <c r="J13" s="59">
        <f>'VRE Users'!H9</f>
        <v>210.35000000000002</v>
      </c>
      <c r="K13" s="59">
        <f>'VRE Users'!I9</f>
        <v>228.55699999999999</v>
      </c>
      <c r="L13" s="59">
        <f>'VRE Users'!J9</f>
        <v>247.12814</v>
      </c>
      <c r="M13" s="59">
        <f>'VRE Users'!K9</f>
        <v>266.07070280000011</v>
      </c>
      <c r="N13" s="59">
        <f>'VRE Users'!L9</f>
        <v>285.3921168560002</v>
      </c>
      <c r="O13" s="59">
        <f>'VRE Users'!M9</f>
        <v>305.09995919312007</v>
      </c>
      <c r="P13" s="59">
        <f>'VRE Users'!N9</f>
        <v>325.2019583769827</v>
      </c>
      <c r="Q13" s="59">
        <f>'VRE Users'!O9</f>
        <v>345.70599754452235</v>
      </c>
      <c r="R13" s="59">
        <f>'VRE Users'!P9</f>
        <v>366.62011749541273</v>
      </c>
      <c r="S13" s="59">
        <f>'VRE Users'!Q9</f>
        <v>387.95251984532081</v>
      </c>
      <c r="T13" s="59">
        <f>'VRE Users'!R9</f>
        <v>409.71157024222742</v>
      </c>
      <c r="U13" s="59">
        <f>'VRE Users'!S9</f>
        <v>431.90580164707194</v>
      </c>
      <c r="V13" s="59">
        <f>'VRE Users'!T9</f>
        <v>454.54391768001335</v>
      </c>
      <c r="W13" s="59">
        <f>'VRE Users'!U9</f>
        <v>477.63479603361378</v>
      </c>
      <c r="X13" s="59">
        <f>'VRE Users'!V9</f>
        <v>501.18749195428592</v>
      </c>
      <c r="Y13" s="59">
        <f>'VRE Users'!W9</f>
        <v>525.21124179337187</v>
      </c>
      <c r="Z13" s="59">
        <f>'VRE Users'!X9</f>
        <v>549.71546662923924</v>
      </c>
      <c r="AA13" s="59">
        <f>'VRE Users'!Y9</f>
        <v>574.70977596182388</v>
      </c>
      <c r="AB13" s="59">
        <f>'VRE Users'!Z9</f>
        <v>600.20397148106065</v>
      </c>
      <c r="AC13" s="59">
        <f>'VRE Users'!AA9</f>
        <v>626.20805091068178</v>
      </c>
    </row>
    <row r="14" spans="1:29" s="53" customFormat="1" ht="12">
      <c r="A14" s="58"/>
      <c r="B14" s="70"/>
      <c r="C14" s="48"/>
      <c r="D14" s="228"/>
      <c r="E14" s="235"/>
      <c r="H14" s="59"/>
      <c r="I14" s="59"/>
      <c r="J14" s="59"/>
      <c r="K14" s="59"/>
      <c r="L14" s="59"/>
      <c r="M14" s="59"/>
      <c r="N14" s="59"/>
      <c r="O14" s="59"/>
      <c r="P14" s="59"/>
      <c r="Q14" s="59"/>
      <c r="R14" s="59"/>
      <c r="S14" s="59"/>
      <c r="T14" s="59"/>
      <c r="U14" s="59"/>
      <c r="V14" s="59"/>
      <c r="W14" s="59"/>
      <c r="X14" s="59"/>
      <c r="Y14" s="59"/>
      <c r="Z14" s="59"/>
      <c r="AA14" s="59"/>
      <c r="AB14" s="59"/>
      <c r="AC14" s="284"/>
    </row>
    <row r="15" spans="1:29" s="53" customFormat="1" ht="12">
      <c r="A15" s="58"/>
      <c r="B15" s="70"/>
      <c r="D15" s="228"/>
      <c r="E15" s="235"/>
      <c r="H15" s="59"/>
      <c r="I15" s="59"/>
      <c r="J15" s="59"/>
      <c r="K15" s="59"/>
      <c r="L15" s="59"/>
      <c r="M15" s="59"/>
      <c r="N15" s="59"/>
      <c r="O15" s="59"/>
      <c r="P15" s="59"/>
      <c r="Q15" s="59"/>
      <c r="R15" s="59"/>
      <c r="S15" s="59"/>
      <c r="T15" s="59"/>
      <c r="U15" s="59"/>
      <c r="V15" s="59"/>
      <c r="W15" s="59"/>
      <c r="X15" s="59"/>
      <c r="Y15" s="59"/>
      <c r="AC15" s="283"/>
    </row>
    <row r="16" spans="1:29" s="53" customFormat="1" ht="12">
      <c r="A16" s="58"/>
      <c r="B16" s="70"/>
      <c r="C16" s="58" t="s">
        <v>436</v>
      </c>
      <c r="D16" s="228"/>
      <c r="E16" s="235"/>
      <c r="H16" s="59"/>
      <c r="I16" s="59"/>
      <c r="J16" s="59"/>
      <c r="K16" s="59"/>
      <c r="L16" s="59"/>
      <c r="M16" s="59"/>
      <c r="N16" s="59"/>
      <c r="O16" s="59"/>
      <c r="P16" s="59"/>
      <c r="Q16" s="59"/>
      <c r="R16" s="59"/>
      <c r="S16" s="59"/>
      <c r="T16" s="59"/>
      <c r="U16" s="59"/>
      <c r="V16" s="59"/>
      <c r="W16" s="59"/>
      <c r="X16" s="59"/>
      <c r="Y16" s="59"/>
      <c r="AC16" s="283"/>
    </row>
    <row r="17" spans="1:29" s="53" customFormat="1" ht="12">
      <c r="A17" s="58"/>
      <c r="B17" s="70"/>
      <c r="C17" s="78" t="s">
        <v>505</v>
      </c>
      <c r="D17" s="228"/>
      <c r="E17" s="235"/>
      <c r="F17" s="299">
        <f>'FG Users'!C40</f>
        <v>0</v>
      </c>
      <c r="G17" s="299">
        <f>'FG Users'!D40</f>
        <v>0</v>
      </c>
      <c r="H17" s="299">
        <f>'VRE Users'!F17</f>
        <v>3500</v>
      </c>
      <c r="I17" s="299">
        <f>'VRE Users'!G17</f>
        <v>3850</v>
      </c>
      <c r="J17" s="299">
        <f>'VRE Users'!H17</f>
        <v>4207</v>
      </c>
      <c r="K17" s="299">
        <f>'VRE Users'!I17</f>
        <v>4571.1399999999994</v>
      </c>
      <c r="L17" s="299">
        <f>'VRE Users'!J17</f>
        <v>4942.5627999999997</v>
      </c>
      <c r="M17" s="299">
        <f>'VRE Users'!K17</f>
        <v>5321.4140560000005</v>
      </c>
      <c r="N17" s="299">
        <f>'VRE Users'!L17</f>
        <v>5707.8423371200042</v>
      </c>
      <c r="O17" s="299">
        <f>'VRE Users'!M17</f>
        <v>6101.999183862401</v>
      </c>
      <c r="P17" s="299">
        <f>'VRE Users'!N17</f>
        <v>6504.0391675396522</v>
      </c>
      <c r="Q17" s="299">
        <f>'VRE Users'!O17</f>
        <v>6914.1199508904465</v>
      </c>
      <c r="R17" s="299">
        <f>'VRE Users'!P17</f>
        <v>7332.4023499082541</v>
      </c>
      <c r="S17" s="299">
        <f>'VRE Users'!Q17</f>
        <v>7759.0503969064157</v>
      </c>
      <c r="T17" s="299">
        <f>'VRE Users'!R17</f>
        <v>8194.2314048445478</v>
      </c>
      <c r="U17" s="299">
        <f>'VRE Users'!S17</f>
        <v>8638.1160329414379</v>
      </c>
      <c r="V17" s="299">
        <f>'VRE Users'!T17</f>
        <v>9090.8783536002666</v>
      </c>
      <c r="W17" s="299">
        <f>'VRE Users'!U17</f>
        <v>9552.695920672275</v>
      </c>
      <c r="X17" s="299">
        <f>'VRE Users'!V17</f>
        <v>10023.749839085718</v>
      </c>
      <c r="Y17" s="299">
        <f>'VRE Users'!W17</f>
        <v>10504.224835867435</v>
      </c>
      <c r="Z17" s="299">
        <f>'VRE Users'!X17</f>
        <v>10994.309332584784</v>
      </c>
      <c r="AA17" s="299">
        <f>'VRE Users'!Y17</f>
        <v>11494.195519236477</v>
      </c>
      <c r="AB17" s="299">
        <f>'VRE Users'!Z17</f>
        <v>12004.07942962121</v>
      </c>
      <c r="AC17" s="299">
        <f>'VRE Users'!AA17</f>
        <v>12524.161018213636</v>
      </c>
    </row>
    <row r="18" spans="1:29" s="53" customFormat="1" ht="12">
      <c r="A18" s="58"/>
      <c r="B18" s="70"/>
      <c r="C18" s="78" t="s">
        <v>506</v>
      </c>
      <c r="D18" s="228"/>
      <c r="E18" s="235"/>
      <c r="F18" s="299">
        <f>'FG Users'!C41</f>
        <v>0</v>
      </c>
      <c r="G18" s="299">
        <f>'FG Users'!D41</f>
        <v>0</v>
      </c>
      <c r="H18" s="299">
        <f>'VRE Users'!F18</f>
        <v>0</v>
      </c>
      <c r="I18" s="299">
        <f>'VRE Users'!G18</f>
        <v>0</v>
      </c>
      <c r="J18" s="299">
        <f>'VRE Users'!H18</f>
        <v>0</v>
      </c>
      <c r="K18" s="299">
        <f>'VRE Users'!I18</f>
        <v>0</v>
      </c>
      <c r="L18" s="299">
        <f>'VRE Users'!J18</f>
        <v>0</v>
      </c>
      <c r="M18" s="299">
        <f>'VRE Users'!K18</f>
        <v>0</v>
      </c>
      <c r="N18" s="299">
        <f>'VRE Users'!L18</f>
        <v>0</v>
      </c>
      <c r="O18" s="299">
        <f>'VRE Users'!M18</f>
        <v>0</v>
      </c>
      <c r="P18" s="299">
        <f>'VRE Users'!N18</f>
        <v>0</v>
      </c>
      <c r="Q18" s="299">
        <f>'VRE Users'!O18</f>
        <v>0</v>
      </c>
      <c r="R18" s="299">
        <f>'VRE Users'!P18</f>
        <v>0</v>
      </c>
      <c r="S18" s="299">
        <f>'VRE Users'!Q18</f>
        <v>0</v>
      </c>
      <c r="T18" s="299">
        <f>'VRE Users'!R18</f>
        <v>0</v>
      </c>
      <c r="U18" s="299">
        <f>'VRE Users'!S18</f>
        <v>0</v>
      </c>
      <c r="V18" s="299">
        <f>'VRE Users'!T18</f>
        <v>0</v>
      </c>
      <c r="W18" s="299">
        <f>'VRE Users'!U18</f>
        <v>0</v>
      </c>
      <c r="X18" s="299">
        <f>'VRE Users'!V18</f>
        <v>0</v>
      </c>
      <c r="Y18" s="299">
        <f>'VRE Users'!W18</f>
        <v>0</v>
      </c>
      <c r="Z18" s="299">
        <f>'VRE Users'!X18</f>
        <v>0</v>
      </c>
      <c r="AA18" s="299">
        <f>'VRE Users'!Y18</f>
        <v>0</v>
      </c>
      <c r="AB18" s="299">
        <f>'VRE Users'!Z18</f>
        <v>0</v>
      </c>
      <c r="AC18" s="299">
        <f>'VRE Users'!AA18</f>
        <v>0</v>
      </c>
    </row>
    <row r="19" spans="1:29" s="53" customFormat="1" ht="12">
      <c r="A19" s="58"/>
      <c r="B19" s="70"/>
      <c r="C19" s="78" t="s">
        <v>507</v>
      </c>
      <c r="D19" s="228"/>
      <c r="E19" s="235"/>
      <c r="F19" s="299">
        <f>'FG Users'!C42</f>
        <v>0</v>
      </c>
      <c r="G19" s="299">
        <f>'FG Users'!D42</f>
        <v>0</v>
      </c>
      <c r="H19" s="299">
        <f>'VRE Users'!F19</f>
        <v>-3325</v>
      </c>
      <c r="I19" s="299">
        <f>'VRE Users'!G19</f>
        <v>-3657.5</v>
      </c>
      <c r="J19" s="299">
        <f>'VRE Users'!H19</f>
        <v>-3996.6499999999996</v>
      </c>
      <c r="K19" s="299">
        <f>'VRE Users'!I19</f>
        <v>-4342.5829999999996</v>
      </c>
      <c r="L19" s="299">
        <f>'VRE Users'!J19</f>
        <v>-4695.4346599999999</v>
      </c>
      <c r="M19" s="299">
        <f>'VRE Users'!K19</f>
        <v>-5055.3433532000008</v>
      </c>
      <c r="N19" s="299">
        <f>'VRE Users'!L19</f>
        <v>-5422.4502202640042</v>
      </c>
      <c r="O19" s="299">
        <f>'VRE Users'!M19</f>
        <v>-5796.8992246692806</v>
      </c>
      <c r="P19" s="299">
        <f>'VRE Users'!N19</f>
        <v>-6178.8372091626698</v>
      </c>
      <c r="Q19" s="299">
        <f>'VRE Users'!O19</f>
        <v>-6568.4139533459238</v>
      </c>
      <c r="R19" s="299">
        <f>'VRE Users'!P19</f>
        <v>-6965.782232412841</v>
      </c>
      <c r="S19" s="299">
        <f>'VRE Users'!Q19</f>
        <v>-7371.0978770610946</v>
      </c>
      <c r="T19" s="299">
        <f>'VRE Users'!R19</f>
        <v>-7784.5198346023199</v>
      </c>
      <c r="U19" s="299">
        <f>'VRE Users'!S19</f>
        <v>-8206.2102312943662</v>
      </c>
      <c r="V19" s="299">
        <f>'VRE Users'!T19</f>
        <v>-8636.3344359202529</v>
      </c>
      <c r="W19" s="299">
        <f>'VRE Users'!U19</f>
        <v>-9075.0611246386616</v>
      </c>
      <c r="X19" s="299">
        <f>'VRE Users'!V19</f>
        <v>-9522.562347131432</v>
      </c>
      <c r="Y19" s="299">
        <f>'VRE Users'!W19</f>
        <v>-9979.0135940740638</v>
      </c>
      <c r="Z19" s="299">
        <f>'VRE Users'!X19</f>
        <v>-10444.593865955545</v>
      </c>
      <c r="AA19" s="299">
        <f>'VRE Users'!Y19</f>
        <v>-10919.485743274652</v>
      </c>
      <c r="AB19" s="299">
        <f>'VRE Users'!Z19</f>
        <v>-11403.87545814015</v>
      </c>
      <c r="AC19" s="299">
        <f>'VRE Users'!AA19</f>
        <v>-11897.952967302954</v>
      </c>
    </row>
    <row r="20" spans="1:29" s="53" customFormat="1" ht="12">
      <c r="A20" s="58"/>
      <c r="B20" s="70"/>
      <c r="C20" s="78" t="s">
        <v>508</v>
      </c>
      <c r="D20" s="228"/>
      <c r="E20" s="235"/>
      <c r="F20" s="299">
        <f>'FG Users'!C43</f>
        <v>0</v>
      </c>
      <c r="G20" s="299">
        <f>'FG Users'!D43</f>
        <v>0</v>
      </c>
      <c r="H20" s="299">
        <f>'VRE Users'!F20</f>
        <v>-83125</v>
      </c>
      <c r="I20" s="299">
        <f>'VRE Users'!G20</f>
        <v>-91437.5</v>
      </c>
      <c r="J20" s="299">
        <f>'VRE Users'!H20</f>
        <v>-99916.249999999985</v>
      </c>
      <c r="K20" s="299">
        <f>'VRE Users'!I20</f>
        <v>-108564.575</v>
      </c>
      <c r="L20" s="299">
        <f>'VRE Users'!J20</f>
        <v>-117385.8665</v>
      </c>
      <c r="M20" s="299">
        <f>'VRE Users'!K20</f>
        <v>-126383.58383000002</v>
      </c>
      <c r="N20" s="299">
        <f>'VRE Users'!L20</f>
        <v>-135561.25550660011</v>
      </c>
      <c r="O20" s="299">
        <f>'VRE Users'!M20</f>
        <v>-144922.48061673201</v>
      </c>
      <c r="P20" s="299">
        <f>'VRE Users'!N20</f>
        <v>-154470.93022906675</v>
      </c>
      <c r="Q20" s="299">
        <f>'VRE Users'!O20</f>
        <v>-164210.34883364808</v>
      </c>
      <c r="R20" s="299">
        <f>'VRE Users'!P20</f>
        <v>-174144.55581032104</v>
      </c>
      <c r="S20" s="299">
        <f>'VRE Users'!Q20</f>
        <v>-184277.44692652737</v>
      </c>
      <c r="T20" s="299">
        <f>'VRE Users'!R20</f>
        <v>-194612.99586505801</v>
      </c>
      <c r="U20" s="299">
        <f>'VRE Users'!S20</f>
        <v>-205155.25578235916</v>
      </c>
      <c r="V20" s="299">
        <f>'VRE Users'!T20</f>
        <v>-215908.36089800633</v>
      </c>
      <c r="W20" s="299">
        <f>'VRE Users'!U20</f>
        <v>-226876.52811596653</v>
      </c>
      <c r="X20" s="299">
        <f>'VRE Users'!V20</f>
        <v>-238064.0586782858</v>
      </c>
      <c r="Y20" s="299">
        <f>'VRE Users'!W20</f>
        <v>-249475.3398518516</v>
      </c>
      <c r="Z20" s="299">
        <f>'VRE Users'!X20</f>
        <v>-261114.84664888863</v>
      </c>
      <c r="AA20" s="299">
        <f>'VRE Users'!Y20</f>
        <v>-272987.14358186629</v>
      </c>
      <c r="AB20" s="299">
        <f>'VRE Users'!Z20</f>
        <v>-285096.88645350374</v>
      </c>
      <c r="AC20" s="299">
        <f>'VRE Users'!AA20</f>
        <v>-297448.82418257382</v>
      </c>
    </row>
    <row r="21" spans="1:29" s="53" customFormat="1" ht="12">
      <c r="A21" s="58"/>
      <c r="B21" s="70"/>
      <c r="C21" s="54" t="s">
        <v>509</v>
      </c>
      <c r="D21" s="228"/>
      <c r="E21" s="235"/>
      <c r="F21" s="300">
        <f>'FG Users'!C44</f>
        <v>0</v>
      </c>
      <c r="G21" s="300">
        <f>'FG Users'!D44</f>
        <v>0</v>
      </c>
      <c r="H21" s="300">
        <f>'VRE Users'!F21</f>
        <v>14002.812340511864</v>
      </c>
      <c r="I21" s="300">
        <f>'VRE Users'!G21</f>
        <v>15070.925870716565</v>
      </c>
      <c r="J21" s="300">
        <f>'VRE Users'!H21</f>
        <v>16120.767385037128</v>
      </c>
      <c r="K21" s="300">
        <f>'VRE Users'!I21</f>
        <v>17153.99548950087</v>
      </c>
      <c r="L21" s="300">
        <f>'VRE Users'!J21</f>
        <v>18172.144707013758</v>
      </c>
      <c r="M21" s="300">
        <f>'VRE Users'!K21</f>
        <v>19176.637995980014</v>
      </c>
      <c r="N21" s="300">
        <f>'VRE Users'!L21</f>
        <v>20558.306936426961</v>
      </c>
      <c r="O21" s="300">
        <f>'VRE Users'!M21</f>
        <v>21966.335078754906</v>
      </c>
      <c r="P21" s="300">
        <f>'VRE Users'!N21</f>
        <v>23401.236732506695</v>
      </c>
      <c r="Q21" s="300">
        <f>'VRE Users'!O21</f>
        <v>24863.53623647898</v>
      </c>
      <c r="R21" s="300">
        <f>'VRE Users'!P21</f>
        <v>26353.76815444485</v>
      </c>
      <c r="S21" s="300">
        <f>'VRE Users'!Q21</f>
        <v>27872.477474698011</v>
      </c>
      <c r="T21" s="300">
        <f>'VRE Users'!R21</f>
        <v>29420.219813493699</v>
      </c>
      <c r="U21" s="300">
        <f>'VRE Users'!S21</f>
        <v>30997.561622462006</v>
      </c>
      <c r="V21" s="300">
        <f>'VRE Users'!T21</f>
        <v>32605.080400071773</v>
      </c>
      <c r="W21" s="300">
        <f>'VRE Users'!U21</f>
        <v>34243.364907223695</v>
      </c>
      <c r="X21" s="300">
        <f>'VRE Users'!V21</f>
        <v>35913.015387053543</v>
      </c>
      <c r="Y21" s="300">
        <f>'VRE Users'!W21</f>
        <v>37614.643789027919</v>
      </c>
      <c r="Z21" s="300">
        <f>'VRE Users'!X21</f>
        <v>39348.873997415947</v>
      </c>
      <c r="AA21" s="300">
        <f>'VRE Users'!Y21</f>
        <v>41116.342064223019</v>
      </c>
      <c r="AB21" s="300">
        <f>'VRE Users'!Z21</f>
        <v>42917.696446673333</v>
      </c>
      <c r="AC21" s="300">
        <f>'VRE Users'!AA21</f>
        <v>44753.598249330076</v>
      </c>
    </row>
    <row r="22" spans="1:29" s="53" customFormat="1" ht="12">
      <c r="A22" s="58"/>
      <c r="B22" s="70"/>
      <c r="C22" s="66"/>
      <c r="D22" s="228"/>
      <c r="E22" s="235"/>
      <c r="H22" s="59"/>
      <c r="I22" s="59"/>
      <c r="J22" s="59"/>
      <c r="K22" s="59"/>
      <c r="L22" s="59"/>
      <c r="M22" s="59"/>
      <c r="N22" s="59"/>
      <c r="O22" s="59"/>
      <c r="P22" s="59"/>
      <c r="Q22" s="59"/>
      <c r="R22" s="59"/>
      <c r="S22" s="59"/>
      <c r="T22" s="59"/>
      <c r="U22" s="59"/>
      <c r="V22" s="59"/>
      <c r="W22" s="59"/>
      <c r="X22" s="59"/>
      <c r="Y22" s="59"/>
      <c r="AC22" s="283"/>
    </row>
    <row r="23" spans="1:29" s="53" customFormat="1" ht="12">
      <c r="A23" s="58"/>
      <c r="B23" s="58"/>
      <c r="D23" s="228"/>
      <c r="E23" s="235"/>
      <c r="H23" s="59"/>
      <c r="I23" s="59"/>
      <c r="J23" s="59"/>
      <c r="K23" s="59"/>
      <c r="L23" s="59"/>
      <c r="M23" s="59"/>
      <c r="N23" s="59"/>
      <c r="O23" s="59"/>
      <c r="P23" s="59"/>
      <c r="Q23" s="59"/>
      <c r="R23" s="59"/>
      <c r="S23" s="59"/>
      <c r="T23" s="59"/>
      <c r="U23" s="59"/>
      <c r="V23" s="59"/>
      <c r="W23" s="59"/>
      <c r="X23" s="59"/>
      <c r="Y23" s="59"/>
      <c r="AC23" s="283"/>
    </row>
    <row r="24" spans="1:29" s="53" customFormat="1" ht="12">
      <c r="A24" s="58" t="s">
        <v>364</v>
      </c>
      <c r="B24" s="58"/>
      <c r="D24" s="228"/>
      <c r="E24" s="235"/>
      <c r="H24" s="59"/>
      <c r="I24" s="59"/>
      <c r="J24" s="59"/>
      <c r="K24" s="59"/>
      <c r="L24" s="59"/>
      <c r="M24" s="59"/>
      <c r="N24" s="59"/>
      <c r="O24" s="59"/>
      <c r="P24" s="59"/>
      <c r="Q24" s="59"/>
      <c r="R24" s="59"/>
      <c r="S24" s="59"/>
      <c r="T24" s="59"/>
      <c r="U24" s="59"/>
      <c r="V24" s="59"/>
      <c r="W24" s="59"/>
      <c r="X24" s="59"/>
      <c r="Y24" s="59"/>
      <c r="AC24" s="283"/>
    </row>
    <row r="25" spans="1:29" s="53" customFormat="1" ht="12">
      <c r="A25" s="58"/>
      <c r="B25" s="58"/>
      <c r="C25" s="216" t="s">
        <v>365</v>
      </c>
      <c r="D25" s="228"/>
      <c r="E25" s="235"/>
      <c r="H25" s="59"/>
      <c r="I25" s="59"/>
      <c r="J25" s="59"/>
      <c r="K25" s="59"/>
      <c r="L25" s="59"/>
      <c r="M25" s="59"/>
      <c r="N25" s="59"/>
      <c r="O25" s="59"/>
      <c r="P25" s="59"/>
      <c r="Q25" s="59"/>
      <c r="R25" s="59"/>
      <c r="S25" s="59"/>
      <c r="T25" s="59"/>
      <c r="U25" s="59"/>
      <c r="V25" s="59"/>
      <c r="W25" s="59"/>
      <c r="X25" s="59"/>
      <c r="Y25" s="59"/>
      <c r="AC25" s="283"/>
    </row>
    <row r="26" spans="1:29" s="53" customFormat="1" ht="12">
      <c r="A26" s="58"/>
      <c r="B26" s="58"/>
      <c r="D26" s="228"/>
      <c r="E26" s="235"/>
      <c r="H26" s="59"/>
      <c r="I26" s="59"/>
      <c r="J26" s="59"/>
      <c r="K26" s="59"/>
      <c r="L26" s="59"/>
      <c r="M26" s="59"/>
      <c r="N26" s="59"/>
      <c r="O26" s="59"/>
      <c r="P26" s="59"/>
      <c r="Q26" s="59"/>
      <c r="R26" s="59"/>
      <c r="S26" s="59"/>
      <c r="T26" s="59"/>
      <c r="U26" s="59"/>
      <c r="V26" s="59"/>
      <c r="W26" s="59"/>
      <c r="X26" s="59"/>
      <c r="Y26" s="59"/>
      <c r="AC26" s="283"/>
    </row>
    <row r="27" spans="1:29" s="53" customFormat="1" ht="12">
      <c r="A27" s="58"/>
      <c r="B27" s="58"/>
      <c r="C27" s="45"/>
      <c r="D27" s="229"/>
      <c r="E27" s="235"/>
      <c r="F27" s="59"/>
      <c r="G27" s="59"/>
      <c r="H27" s="59"/>
      <c r="I27" s="59"/>
      <c r="J27" s="59"/>
      <c r="K27" s="59"/>
      <c r="L27" s="59"/>
      <c r="M27" s="59"/>
      <c r="N27" s="59"/>
      <c r="O27" s="59"/>
      <c r="P27" s="59"/>
      <c r="Q27" s="59"/>
      <c r="R27" s="59"/>
      <c r="S27" s="59"/>
      <c r="T27" s="59"/>
      <c r="U27" s="59"/>
      <c r="V27" s="59"/>
      <c r="W27" s="59"/>
      <c r="X27" s="59"/>
      <c r="Y27" s="59"/>
      <c r="AC27" s="283"/>
    </row>
    <row r="28" spans="1:29" s="53" customFormat="1" ht="12">
      <c r="A28" s="44" t="s">
        <v>362</v>
      </c>
      <c r="B28" s="44"/>
      <c r="C28" s="45"/>
      <c r="D28" s="229"/>
      <c r="E28" s="236"/>
      <c r="F28" s="45"/>
      <c r="G28" s="59"/>
      <c r="H28" s="59"/>
      <c r="I28" s="59"/>
      <c r="J28" s="59"/>
      <c r="K28" s="59"/>
      <c r="L28" s="59"/>
      <c r="M28" s="59"/>
      <c r="N28" s="59"/>
      <c r="O28" s="59"/>
      <c r="P28" s="59"/>
      <c r="Q28" s="59"/>
      <c r="R28" s="59"/>
      <c r="S28" s="59"/>
      <c r="T28" s="59"/>
      <c r="U28" s="59"/>
      <c r="V28" s="59"/>
      <c r="W28" s="59"/>
      <c r="X28" s="59"/>
      <c r="Y28" s="59"/>
      <c r="AC28" s="283"/>
    </row>
    <row r="29" spans="1:29" s="53" customFormat="1" ht="12">
      <c r="A29" s="44"/>
      <c r="B29" s="44"/>
      <c r="C29" s="45"/>
      <c r="D29" s="229"/>
      <c r="E29" s="236"/>
      <c r="F29" s="45"/>
      <c r="G29" s="59"/>
      <c r="H29" s="59"/>
      <c r="I29" s="59"/>
      <c r="J29" s="59"/>
      <c r="K29" s="59"/>
      <c r="L29" s="59"/>
      <c r="M29" s="59"/>
      <c r="N29" s="59"/>
      <c r="O29" s="59"/>
      <c r="P29" s="59"/>
      <c r="Q29" s="59"/>
      <c r="R29" s="59"/>
      <c r="S29" s="59"/>
      <c r="T29" s="59"/>
      <c r="U29" s="59"/>
      <c r="V29" s="59"/>
      <c r="W29" s="59"/>
      <c r="X29" s="59"/>
      <c r="Y29" s="59"/>
      <c r="AC29" s="283"/>
    </row>
    <row r="30" spans="1:29" s="53" customFormat="1" ht="12">
      <c r="A30" s="44"/>
      <c r="B30" s="5" t="s">
        <v>277</v>
      </c>
      <c r="C30" s="55"/>
      <c r="D30" s="229"/>
      <c r="E30" s="236"/>
      <c r="F30" s="45"/>
      <c r="G30" s="59"/>
      <c r="H30" s="59"/>
      <c r="I30" s="59"/>
      <c r="J30" s="59"/>
      <c r="K30" s="59"/>
      <c r="L30" s="59"/>
      <c r="M30" s="59"/>
      <c r="N30" s="59"/>
      <c r="O30" s="59"/>
      <c r="P30" s="59"/>
      <c r="Q30" s="59"/>
      <c r="R30" s="59"/>
      <c r="S30" s="59"/>
      <c r="T30" s="59"/>
      <c r="U30" s="59"/>
      <c r="V30" s="59"/>
      <c r="W30" s="59"/>
      <c r="X30" s="59"/>
      <c r="Y30" s="59"/>
      <c r="AC30" s="283"/>
    </row>
    <row r="31" spans="1:29" s="53" customFormat="1" ht="12">
      <c r="A31" s="44"/>
      <c r="B31" s="70" t="s">
        <v>463</v>
      </c>
      <c r="C31" s="70" t="s">
        <v>366</v>
      </c>
      <c r="D31" s="229"/>
      <c r="E31" s="236"/>
      <c r="F31" s="45"/>
      <c r="G31" s="59"/>
      <c r="H31" s="59"/>
      <c r="I31" s="59"/>
      <c r="J31" s="59"/>
      <c r="K31" s="59"/>
      <c r="L31" s="59"/>
      <c r="M31" s="59"/>
      <c r="N31" s="59"/>
      <c r="O31" s="59"/>
      <c r="P31" s="59"/>
      <c r="Q31" s="59"/>
      <c r="R31" s="59"/>
      <c r="S31" s="59"/>
      <c r="T31" s="59"/>
      <c r="U31" s="59"/>
      <c r="V31" s="59"/>
      <c r="W31" s="59"/>
      <c r="X31" s="59"/>
      <c r="Y31" s="59"/>
      <c r="AC31" s="283"/>
    </row>
    <row r="32" spans="1:29" s="53" customFormat="1" ht="12">
      <c r="A32" s="44"/>
      <c r="C32" s="63" t="s">
        <v>131</v>
      </c>
      <c r="D32" s="229"/>
      <c r="E32" s="236"/>
      <c r="F32" s="45"/>
      <c r="G32" s="59"/>
      <c r="H32" s="59"/>
      <c r="I32" s="59"/>
      <c r="J32" s="59"/>
      <c r="K32" s="59"/>
      <c r="L32" s="59"/>
      <c r="M32" s="59"/>
      <c r="N32" s="59"/>
      <c r="O32" s="59"/>
      <c r="P32" s="59"/>
      <c r="Q32" s="59"/>
      <c r="R32" s="59"/>
      <c r="S32" s="59"/>
      <c r="T32" s="59"/>
      <c r="U32" s="59"/>
      <c r="V32" s="59"/>
      <c r="W32" s="59"/>
      <c r="X32" s="59"/>
      <c r="Y32" s="59"/>
      <c r="AC32" s="283"/>
    </row>
    <row r="33" spans="1:29" s="53" customFormat="1" ht="12">
      <c r="A33" s="44"/>
      <c r="B33" s="70"/>
      <c r="C33" s="245" t="s">
        <v>399</v>
      </c>
      <c r="D33" s="229">
        <v>0</v>
      </c>
      <c r="E33" s="236"/>
      <c r="F33" s="45"/>
      <c r="G33" s="59"/>
      <c r="H33" s="59"/>
      <c r="I33" s="59"/>
      <c r="J33" s="59"/>
      <c r="K33" s="59"/>
      <c r="L33" s="59"/>
      <c r="M33" s="59"/>
      <c r="N33" s="59"/>
      <c r="O33" s="59"/>
      <c r="P33" s="59"/>
      <c r="Q33" s="59"/>
      <c r="R33" s="59"/>
      <c r="S33" s="59"/>
      <c r="T33" s="59"/>
      <c r="U33" s="59"/>
      <c r="V33" s="59"/>
      <c r="W33" s="59"/>
      <c r="X33" s="59"/>
      <c r="Y33" s="59"/>
      <c r="AC33" s="283"/>
    </row>
    <row r="34" spans="1:29" s="53" customFormat="1" ht="12">
      <c r="A34" s="44"/>
      <c r="B34" s="70"/>
      <c r="C34" s="243" t="s">
        <v>438</v>
      </c>
      <c r="D34" s="242">
        <f>'Price Assumptions'!$B$3</f>
        <v>13.91</v>
      </c>
      <c r="E34" s="236"/>
      <c r="F34" s="45"/>
      <c r="G34" s="59"/>
      <c r="H34" s="59"/>
      <c r="I34" s="59"/>
      <c r="J34" s="59"/>
      <c r="K34" s="59"/>
      <c r="L34" s="59"/>
      <c r="M34" s="59"/>
      <c r="N34" s="59"/>
      <c r="O34" s="59"/>
      <c r="P34" s="59"/>
      <c r="Q34" s="59"/>
      <c r="R34" s="59"/>
      <c r="S34" s="59"/>
      <c r="T34" s="59"/>
      <c r="U34" s="59"/>
      <c r="V34" s="59"/>
      <c r="W34" s="59"/>
      <c r="X34" s="59"/>
      <c r="Y34" s="59"/>
      <c r="AC34" s="283"/>
    </row>
    <row r="35" spans="1:29" s="53" customFormat="1" ht="12">
      <c r="A35" s="44"/>
      <c r="B35" s="70"/>
      <c r="C35" s="62" t="s">
        <v>429</v>
      </c>
      <c r="D35" s="229"/>
      <c r="E35" s="236"/>
      <c r="F35" s="305">
        <f>$D$33*$D$34*F11</f>
        <v>0</v>
      </c>
      <c r="G35" s="305">
        <f t="shared" ref="G35:AC35" si="0">$D$33*$D$34*G11</f>
        <v>0</v>
      </c>
      <c r="H35" s="305">
        <f t="shared" si="0"/>
        <v>0</v>
      </c>
      <c r="I35" s="305">
        <f t="shared" si="0"/>
        <v>0</v>
      </c>
      <c r="J35" s="305">
        <f t="shared" si="0"/>
        <v>0</v>
      </c>
      <c r="K35" s="305">
        <f t="shared" si="0"/>
        <v>0</v>
      </c>
      <c r="L35" s="305">
        <f t="shared" si="0"/>
        <v>0</v>
      </c>
      <c r="M35" s="305">
        <f t="shared" si="0"/>
        <v>0</v>
      </c>
      <c r="N35" s="305">
        <f t="shared" si="0"/>
        <v>0</v>
      </c>
      <c r="O35" s="305">
        <f t="shared" si="0"/>
        <v>0</v>
      </c>
      <c r="P35" s="305">
        <f t="shared" si="0"/>
        <v>0</v>
      </c>
      <c r="Q35" s="305">
        <f t="shared" si="0"/>
        <v>0</v>
      </c>
      <c r="R35" s="305">
        <f t="shared" si="0"/>
        <v>0</v>
      </c>
      <c r="S35" s="305">
        <f t="shared" si="0"/>
        <v>0</v>
      </c>
      <c r="T35" s="305">
        <f t="shared" si="0"/>
        <v>0</v>
      </c>
      <c r="U35" s="305">
        <f t="shared" si="0"/>
        <v>0</v>
      </c>
      <c r="V35" s="305">
        <f t="shared" si="0"/>
        <v>0</v>
      </c>
      <c r="W35" s="305">
        <f t="shared" si="0"/>
        <v>0</v>
      </c>
      <c r="X35" s="305">
        <f t="shared" si="0"/>
        <v>0</v>
      </c>
      <c r="Y35" s="305">
        <f t="shared" si="0"/>
        <v>0</v>
      </c>
      <c r="Z35" s="305">
        <f t="shared" si="0"/>
        <v>0</v>
      </c>
      <c r="AA35" s="305">
        <f t="shared" si="0"/>
        <v>0</v>
      </c>
      <c r="AB35" s="305">
        <f t="shared" si="0"/>
        <v>0</v>
      </c>
      <c r="AC35" s="306">
        <f t="shared" si="0"/>
        <v>0</v>
      </c>
    </row>
    <row r="36" spans="1:29" s="53" customFormat="1" ht="12">
      <c r="A36" s="44"/>
      <c r="B36" s="70"/>
      <c r="D36" s="229"/>
      <c r="E36" s="236"/>
      <c r="F36" s="45"/>
      <c r="G36" s="59"/>
      <c r="H36" s="59"/>
      <c r="I36" s="59"/>
      <c r="J36" s="59"/>
      <c r="K36" s="59"/>
      <c r="L36" s="59"/>
      <c r="M36" s="59"/>
      <c r="N36" s="59"/>
      <c r="O36" s="59"/>
      <c r="P36" s="59"/>
      <c r="Q36" s="59"/>
      <c r="R36" s="59"/>
      <c r="S36" s="59"/>
      <c r="T36" s="59"/>
      <c r="U36" s="59"/>
      <c r="V36" s="59"/>
      <c r="W36" s="59"/>
      <c r="X36" s="59"/>
      <c r="Y36" s="59"/>
      <c r="AC36" s="283"/>
    </row>
    <row r="37" spans="1:29" s="53" customFormat="1" ht="12">
      <c r="A37" s="44"/>
      <c r="B37" s="70"/>
      <c r="D37" s="229"/>
      <c r="E37" s="236"/>
      <c r="F37" s="45"/>
      <c r="G37" s="59"/>
      <c r="H37" s="59"/>
      <c r="I37" s="59"/>
      <c r="J37" s="59"/>
      <c r="K37" s="59"/>
      <c r="L37" s="59"/>
      <c r="M37" s="59"/>
      <c r="N37" s="59"/>
      <c r="O37" s="59"/>
      <c r="P37" s="59"/>
      <c r="Q37" s="59"/>
      <c r="R37" s="59"/>
      <c r="S37" s="59"/>
      <c r="T37" s="59"/>
      <c r="U37" s="59"/>
      <c r="V37" s="59"/>
      <c r="W37" s="59"/>
      <c r="X37" s="59"/>
      <c r="Y37" s="59"/>
      <c r="AC37" s="283"/>
    </row>
    <row r="38" spans="1:29" s="53" customFormat="1" ht="12">
      <c r="A38" s="44"/>
      <c r="B38" s="270" t="s">
        <v>462</v>
      </c>
      <c r="C38" s="54" t="s">
        <v>426</v>
      </c>
      <c r="D38" s="229"/>
      <c r="E38" s="236"/>
      <c r="F38" s="45">
        <f>F12</f>
        <v>0</v>
      </c>
      <c r="G38" s="45">
        <f t="shared" ref="G38:AC38" si="1">G12</f>
        <v>0</v>
      </c>
      <c r="H38" s="45">
        <f t="shared" si="1"/>
        <v>3325</v>
      </c>
      <c r="I38" s="263">
        <f t="shared" si="1"/>
        <v>3657.5</v>
      </c>
      <c r="J38" s="263">
        <f t="shared" si="1"/>
        <v>3996.6499999999996</v>
      </c>
      <c r="K38" s="263">
        <f t="shared" si="1"/>
        <v>4342.5829999999996</v>
      </c>
      <c r="L38" s="263">
        <f t="shared" si="1"/>
        <v>4695.4346599999999</v>
      </c>
      <c r="M38" s="263">
        <f t="shared" si="1"/>
        <v>5055.3433532000008</v>
      </c>
      <c r="N38" s="263">
        <f t="shared" si="1"/>
        <v>5422.4502202640042</v>
      </c>
      <c r="O38" s="263">
        <f t="shared" si="1"/>
        <v>5796.8992246692806</v>
      </c>
      <c r="P38" s="263">
        <f t="shared" si="1"/>
        <v>6178.8372091626698</v>
      </c>
      <c r="Q38" s="263">
        <f t="shared" si="1"/>
        <v>6568.4139533459238</v>
      </c>
      <c r="R38" s="263">
        <f t="shared" si="1"/>
        <v>6965.782232412841</v>
      </c>
      <c r="S38" s="263">
        <f t="shared" si="1"/>
        <v>7371.0978770610946</v>
      </c>
      <c r="T38" s="263">
        <f t="shared" si="1"/>
        <v>7784.5198346023199</v>
      </c>
      <c r="U38" s="263">
        <f t="shared" si="1"/>
        <v>8206.2102312943662</v>
      </c>
      <c r="V38" s="263">
        <f t="shared" si="1"/>
        <v>8636.3344359202529</v>
      </c>
      <c r="W38" s="263">
        <f t="shared" si="1"/>
        <v>9075.0611246386616</v>
      </c>
      <c r="X38" s="263">
        <f t="shared" si="1"/>
        <v>9522.562347131432</v>
      </c>
      <c r="Y38" s="263">
        <f t="shared" si="1"/>
        <v>9979.0135940740638</v>
      </c>
      <c r="Z38" s="263">
        <f t="shared" si="1"/>
        <v>10444.593865955545</v>
      </c>
      <c r="AA38" s="263">
        <f t="shared" si="1"/>
        <v>10919.485743274652</v>
      </c>
      <c r="AB38" s="263">
        <f t="shared" si="1"/>
        <v>11403.87545814015</v>
      </c>
      <c r="AC38" s="285">
        <f t="shared" si="1"/>
        <v>11897.952967302954</v>
      </c>
    </row>
    <row r="39" spans="1:29" s="53" customFormat="1" ht="12">
      <c r="A39" s="44"/>
      <c r="B39" s="70"/>
      <c r="C39" s="63" t="s">
        <v>131</v>
      </c>
      <c r="D39" s="229"/>
      <c r="E39" s="236"/>
      <c r="F39" s="45"/>
      <c r="G39" s="313"/>
      <c r="H39" s="313"/>
      <c r="I39" s="313"/>
      <c r="J39" s="313"/>
      <c r="K39" s="313"/>
      <c r="L39" s="313"/>
      <c r="M39" s="313"/>
      <c r="N39" s="313"/>
      <c r="O39" s="313"/>
      <c r="P39" s="313"/>
      <c r="Q39" s="313"/>
      <c r="R39" s="313"/>
      <c r="S39" s="313"/>
      <c r="T39" s="313"/>
      <c r="U39" s="313"/>
      <c r="V39" s="313"/>
      <c r="W39" s="313"/>
      <c r="X39" s="313"/>
      <c r="Y39" s="313"/>
      <c r="Z39" s="45"/>
      <c r="AA39" s="45"/>
      <c r="AB39" s="45"/>
      <c r="AC39" s="283"/>
    </row>
    <row r="40" spans="1:29" s="53" customFormat="1" ht="12">
      <c r="A40" s="44"/>
      <c r="B40" s="70"/>
      <c r="C40" s="243" t="s">
        <v>403</v>
      </c>
      <c r="D40" s="229"/>
      <c r="E40" s="236"/>
      <c r="F40" s="318">
        <f>'Mode Operating Assumptions'!D38</f>
        <v>0.70946273121616577</v>
      </c>
      <c r="G40" s="318">
        <f>'Mode Operating Assumptions'!E38</f>
        <v>0.71059621821482899</v>
      </c>
      <c r="H40" s="318">
        <f>'Mode Operating Assumptions'!F38</f>
        <v>0.71173381657727475</v>
      </c>
      <c r="I40" s="318">
        <f>'Mode Operating Assumptions'!G38</f>
        <v>0.71287554871314296</v>
      </c>
      <c r="J40" s="318">
        <f>'Mode Operating Assumptions'!H38</f>
        <v>0.7140214371952327</v>
      </c>
      <c r="K40" s="318">
        <f>'Mode Operating Assumptions'!I38</f>
        <v>0.71517150476099045</v>
      </c>
      <c r="L40" s="318">
        <f>'Mode Operating Assumptions'!J38</f>
        <v>0.71632577431401367</v>
      </c>
      <c r="M40" s="318">
        <f>'Mode Operating Assumptions'!K38</f>
        <v>0.71748426892557116</v>
      </c>
      <c r="N40" s="318">
        <f>'Mode Operating Assumptions'!L38</f>
        <v>0.71864701183614055</v>
      </c>
      <c r="O40" s="318">
        <f>'Mode Operating Assumptions'!M38</f>
        <v>0.71981402645696213</v>
      </c>
      <c r="P40" s="318">
        <f>'Mode Operating Assumptions'!N38</f>
        <v>0.72098533637161</v>
      </c>
      <c r="Q40" s="318">
        <f>'Mode Operating Assumptions'!O38</f>
        <v>0.72216096533758134</v>
      </c>
      <c r="R40" s="318">
        <f>'Mode Operating Assumptions'!P38</f>
        <v>0.72334093728790194</v>
      </c>
      <c r="S40" s="318">
        <f>'Mode Operating Assumptions'!Q38</f>
        <v>0.72452527633275055</v>
      </c>
      <c r="T40" s="318">
        <f>'Mode Operating Assumptions'!R38</f>
        <v>0.72571400676110143</v>
      </c>
      <c r="U40" s="318">
        <f>'Mode Operating Assumptions'!S38</f>
        <v>0.72690715304238396</v>
      </c>
      <c r="V40" s="318">
        <f>'Mode Operating Assumptions'!T38</f>
        <v>0.72810473982816259</v>
      </c>
      <c r="W40" s="318">
        <f>'Mode Operating Assumptions'!U38</f>
        <v>0.72930679195383386</v>
      </c>
      <c r="X40" s="318">
        <f>'Mode Operating Assumptions'!V38</f>
        <v>0.7305133344403435</v>
      </c>
      <c r="Y40" s="318">
        <f>'Mode Operating Assumptions'!W38</f>
        <v>0.73172439249592258</v>
      </c>
      <c r="Z40" s="318">
        <f>'Mode Operating Assumptions'!X38</f>
        <v>0.73293999151784295</v>
      </c>
      <c r="AA40" s="318">
        <f>'Mode Operating Assumptions'!Y38</f>
        <v>0.73416015709419302</v>
      </c>
      <c r="AB40" s="318">
        <f>'Mode Operating Assumptions'!Z38</f>
        <v>0.73538491500567238</v>
      </c>
      <c r="AC40" s="318">
        <f>'Mode Operating Assumptions'!AA38</f>
        <v>0.7366142912274084</v>
      </c>
    </row>
    <row r="41" spans="1:29" s="53" customFormat="1" ht="12">
      <c r="A41" s="44"/>
      <c r="B41" s="70"/>
      <c r="C41" s="243" t="s">
        <v>420</v>
      </c>
      <c r="D41" s="268">
        <f>'Mode Operating Assumptions'!C163</f>
        <v>0.65476190476190477</v>
      </c>
      <c r="E41" s="236"/>
      <c r="F41" s="45"/>
      <c r="G41" s="313"/>
      <c r="H41" s="313"/>
      <c r="I41" s="313"/>
      <c r="J41" s="313"/>
      <c r="K41" s="313"/>
      <c r="L41" s="313"/>
      <c r="M41" s="313"/>
      <c r="N41" s="313"/>
      <c r="O41" s="313"/>
      <c r="P41" s="313"/>
      <c r="Q41" s="313"/>
      <c r="R41" s="313"/>
      <c r="S41" s="313"/>
      <c r="T41" s="313"/>
      <c r="U41" s="313"/>
      <c r="V41" s="313"/>
      <c r="W41" s="313"/>
      <c r="X41" s="313"/>
      <c r="Y41" s="313"/>
      <c r="Z41" s="45"/>
      <c r="AA41" s="45"/>
      <c r="AB41" s="45"/>
      <c r="AC41" s="283"/>
    </row>
    <row r="42" spans="1:29" s="53" customFormat="1" ht="12">
      <c r="A42" s="44"/>
      <c r="B42" s="70"/>
      <c r="C42" s="243" t="s">
        <v>439</v>
      </c>
      <c r="D42" s="229">
        <f>'Mode Operating Assumptions'!C102</f>
        <v>0.17899999999999999</v>
      </c>
      <c r="E42" s="236"/>
      <c r="F42" s="45"/>
      <c r="G42" s="313"/>
      <c r="H42" s="313"/>
      <c r="I42" s="313"/>
      <c r="J42" s="313"/>
      <c r="K42" s="313"/>
      <c r="L42" s="313"/>
      <c r="M42" s="313"/>
      <c r="N42" s="313"/>
      <c r="O42" s="313"/>
      <c r="P42" s="313"/>
      <c r="Q42" s="313"/>
      <c r="R42" s="313"/>
      <c r="S42" s="313"/>
      <c r="T42" s="313"/>
      <c r="U42" s="313"/>
      <c r="V42" s="313"/>
      <c r="W42" s="313"/>
      <c r="X42" s="313"/>
      <c r="Y42" s="313"/>
      <c r="Z42" s="45"/>
      <c r="AA42" s="45"/>
      <c r="AB42" s="45"/>
      <c r="AC42" s="283"/>
    </row>
    <row r="43" spans="1:29" s="53" customFormat="1" ht="12">
      <c r="A43" s="44"/>
      <c r="B43" s="70"/>
      <c r="C43" s="243" t="s">
        <v>400</v>
      </c>
      <c r="D43" s="273">
        <f>'Mode Operating Assumptions'!C39</f>
        <v>13.91</v>
      </c>
      <c r="E43" s="236"/>
      <c r="F43" s="45"/>
      <c r="G43" s="313"/>
      <c r="H43" s="313"/>
      <c r="I43" s="313"/>
      <c r="J43" s="313"/>
      <c r="K43" s="313"/>
      <c r="L43" s="313"/>
      <c r="M43" s="313"/>
      <c r="N43" s="313"/>
      <c r="O43" s="313"/>
      <c r="P43" s="313"/>
      <c r="Q43" s="313"/>
      <c r="R43" s="313"/>
      <c r="S43" s="313"/>
      <c r="T43" s="313"/>
      <c r="U43" s="313"/>
      <c r="V43" s="313"/>
      <c r="W43" s="313"/>
      <c r="X43" s="313"/>
      <c r="Y43" s="313"/>
      <c r="Z43" s="45"/>
      <c r="AA43" s="45"/>
      <c r="AB43" s="45"/>
      <c r="AC43" s="283"/>
    </row>
    <row r="44" spans="1:29" s="53" customFormat="1" ht="12">
      <c r="A44" s="44"/>
      <c r="B44" s="70"/>
      <c r="C44" s="243" t="s">
        <v>401</v>
      </c>
      <c r="D44" s="273">
        <f>'Mode Operating Assumptions'!C164</f>
        <v>13.91</v>
      </c>
      <c r="E44" s="236"/>
      <c r="F44" s="45"/>
      <c r="G44" s="313"/>
      <c r="H44" s="313"/>
      <c r="I44" s="313"/>
      <c r="J44" s="313"/>
      <c r="K44" s="313"/>
      <c r="L44" s="313"/>
      <c r="M44" s="313"/>
      <c r="N44" s="313"/>
      <c r="O44" s="313"/>
      <c r="P44" s="313"/>
      <c r="Q44" s="313"/>
      <c r="R44" s="313"/>
      <c r="S44" s="313"/>
      <c r="T44" s="313"/>
      <c r="U44" s="313"/>
      <c r="V44" s="313"/>
      <c r="W44" s="313"/>
      <c r="X44" s="313"/>
      <c r="Y44" s="313"/>
      <c r="Z44" s="45"/>
      <c r="AA44" s="45"/>
      <c r="AB44" s="45"/>
      <c r="AC44" s="283"/>
    </row>
    <row r="45" spans="1:29" s="53" customFormat="1" ht="12">
      <c r="A45" s="44"/>
      <c r="B45" s="70"/>
      <c r="C45" s="243" t="s">
        <v>438</v>
      </c>
      <c r="D45" s="273">
        <f>'Mode Operating Assumptions'!C103</f>
        <v>13.91</v>
      </c>
      <c r="E45" s="236"/>
      <c r="F45" s="45"/>
      <c r="G45" s="313"/>
      <c r="H45" s="313"/>
      <c r="I45" s="313"/>
      <c r="J45" s="313"/>
      <c r="K45" s="313"/>
      <c r="L45" s="313"/>
      <c r="M45" s="313"/>
      <c r="N45" s="313"/>
      <c r="O45" s="313"/>
      <c r="P45" s="313"/>
      <c r="Q45" s="313"/>
      <c r="R45" s="313"/>
      <c r="S45" s="313"/>
      <c r="T45" s="313"/>
      <c r="U45" s="313"/>
      <c r="V45" s="313"/>
      <c r="W45" s="313"/>
      <c r="X45" s="313"/>
      <c r="Y45" s="313"/>
      <c r="Z45" s="45"/>
      <c r="AA45" s="45"/>
      <c r="AB45" s="45"/>
      <c r="AC45" s="283"/>
    </row>
    <row r="46" spans="1:29" s="53" customFormat="1" ht="12">
      <c r="A46" s="44"/>
      <c r="B46" s="70"/>
      <c r="C46" s="78" t="s">
        <v>440</v>
      </c>
      <c r="D46" s="229"/>
      <c r="E46" s="236"/>
      <c r="F46" s="275">
        <f>+(F40*$D$43)-($D$41*$D$44)-($D$42*$D$45)</f>
        <v>-1.7290015040212294</v>
      </c>
      <c r="G46" s="275">
        <f t="shared" ref="G46:AC46" si="2">+(G40*$D$43)-($D$41*$D$44)-($D$42*$D$45)</f>
        <v>-1.7132346998698251</v>
      </c>
      <c r="H46" s="275">
        <f t="shared" si="2"/>
        <v>-1.6974107066482036</v>
      </c>
      <c r="I46" s="275">
        <f t="shared" si="2"/>
        <v>-1.681529212638277</v>
      </c>
      <c r="J46" s="275">
        <f t="shared" si="2"/>
        <v>-1.6655899038524096</v>
      </c>
      <c r="K46" s="275">
        <f t="shared" si="2"/>
        <v>-1.6495924640127191</v>
      </c>
      <c r="L46" s="275">
        <f t="shared" si="2"/>
        <v>-1.633536574530166</v>
      </c>
      <c r="M46" s="275">
        <f t="shared" si="2"/>
        <v>-1.6174219144834003</v>
      </c>
      <c r="N46" s="275">
        <f t="shared" si="2"/>
        <v>-1.6012481605973816</v>
      </c>
      <c r="O46" s="275">
        <f t="shared" si="2"/>
        <v>-1.5850149872217534</v>
      </c>
      <c r="P46" s="275">
        <f t="shared" si="2"/>
        <v>-1.5687220663090011</v>
      </c>
      <c r="Q46" s="275">
        <f t="shared" si="2"/>
        <v>-1.5523690673923385</v>
      </c>
      <c r="R46" s="275">
        <f t="shared" si="2"/>
        <v>-1.5359556575633802</v>
      </c>
      <c r="S46" s="275">
        <f t="shared" si="2"/>
        <v>-1.519481501449536</v>
      </c>
      <c r="T46" s="275">
        <f t="shared" si="2"/>
        <v>-1.5029462611911741</v>
      </c>
      <c r="U46" s="275">
        <f t="shared" si="2"/>
        <v>-1.4863495964185356</v>
      </c>
      <c r="V46" s="275">
        <f t="shared" si="2"/>
        <v>-1.4696911642283537</v>
      </c>
      <c r="W46" s="275">
        <f t="shared" si="2"/>
        <v>-1.4529706191602676</v>
      </c>
      <c r="X46" s="275">
        <f t="shared" si="2"/>
        <v>-1.4361876131729181</v>
      </c>
      <c r="Y46" s="275">
        <f t="shared" si="2"/>
        <v>-1.419341795619812</v>
      </c>
      <c r="Z46" s="275">
        <f t="shared" si="2"/>
        <v>-1.4024328132249009</v>
      </c>
      <c r="AA46" s="275">
        <f t="shared" si="2"/>
        <v>-1.3854603100578702</v>
      </c>
      <c r="AB46" s="275">
        <f t="shared" si="2"/>
        <v>-1.3684239275091938</v>
      </c>
      <c r="AC46" s="288">
        <f t="shared" si="2"/>
        <v>-1.3513233042648443</v>
      </c>
    </row>
    <row r="47" spans="1:29">
      <c r="C47" s="244" t="s">
        <v>544</v>
      </c>
      <c r="D47" s="229"/>
      <c r="E47" s="236"/>
      <c r="F47" s="252">
        <f>F46*F38</f>
        <v>0</v>
      </c>
      <c r="G47" s="252">
        <f t="shared" ref="G47:AC47" si="3">G46*G38</f>
        <v>0</v>
      </c>
      <c r="H47" s="252">
        <f t="shared" si="3"/>
        <v>-5643.8905996052772</v>
      </c>
      <c r="I47" s="252">
        <f t="shared" si="3"/>
        <v>-6150.1930952244984</v>
      </c>
      <c r="J47" s="252">
        <f t="shared" si="3"/>
        <v>-6656.7798892317323</v>
      </c>
      <c r="K47" s="252">
        <f t="shared" si="3"/>
        <v>-7163.4921911497449</v>
      </c>
      <c r="L47" s="252">
        <f t="shared" si="3"/>
        <v>-7670.1642504266147</v>
      </c>
      <c r="M47" s="252">
        <f t="shared" si="3"/>
        <v>-8176.6231247036776</v>
      </c>
      <c r="N47" s="252">
        <f t="shared" si="3"/>
        <v>-8682.6884411286028</v>
      </c>
      <c r="O47" s="252">
        <f t="shared" si="3"/>
        <v>-9188.1721505149726</v>
      </c>
      <c r="P47" s="252">
        <f t="shared" si="3"/>
        <v>-9692.8782741446048</v>
      </c>
      <c r="Q47" s="252">
        <f t="shared" si="3"/>
        <v>-10196.602643002434</v>
      </c>
      <c r="R47" s="252">
        <f t="shared" si="3"/>
        <v>-10699.132629228976</v>
      </c>
      <c r="S47" s="252">
        <f t="shared" si="3"/>
        <v>-11200.246869568278</v>
      </c>
      <c r="T47" s="252">
        <f t="shared" si="3"/>
        <v>-11699.714980584095</v>
      </c>
      <c r="U47" s="252">
        <f t="shared" si="3"/>
        <v>-12197.297265410039</v>
      </c>
      <c r="V47" s="252">
        <f t="shared" si="3"/>
        <v>-12692.744411793059</v>
      </c>
      <c r="W47" s="252">
        <f t="shared" si="3"/>
        <v>-13185.79718118351</v>
      </c>
      <c r="X47" s="252">
        <f t="shared" si="3"/>
        <v>-13676.186088616992</v>
      </c>
      <c r="Y47" s="252">
        <f t="shared" si="3"/>
        <v>-14163.631073127595</v>
      </c>
      <c r="Z47" s="252">
        <f t="shared" si="3"/>
        <v>-14647.841158423578</v>
      </c>
      <c r="AA47" s="252">
        <f t="shared" si="3"/>
        <v>-15128.514103549793</v>
      </c>
      <c r="AB47" s="252">
        <f t="shared" si="3"/>
        <v>-15605.336043253852</v>
      </c>
      <c r="AC47" s="286">
        <f t="shared" si="3"/>
        <v>-16077.981117763537</v>
      </c>
    </row>
    <row r="48" spans="1:29" s="53" customFormat="1" ht="12">
      <c r="A48" s="44"/>
      <c r="B48" s="70"/>
      <c r="C48" s="62" t="s">
        <v>429</v>
      </c>
      <c r="D48" s="229"/>
      <c r="E48" s="236"/>
      <c r="F48" s="305">
        <f>F47</f>
        <v>0</v>
      </c>
      <c r="G48" s="305">
        <f t="shared" ref="G48:AC48" si="4">G47</f>
        <v>0</v>
      </c>
      <c r="H48" s="305">
        <f t="shared" si="4"/>
        <v>-5643.8905996052772</v>
      </c>
      <c r="I48" s="305">
        <f t="shared" si="4"/>
        <v>-6150.1930952244984</v>
      </c>
      <c r="J48" s="305">
        <f t="shared" si="4"/>
        <v>-6656.7798892317323</v>
      </c>
      <c r="K48" s="305">
        <f t="shared" si="4"/>
        <v>-7163.4921911497449</v>
      </c>
      <c r="L48" s="305">
        <f t="shared" si="4"/>
        <v>-7670.1642504266147</v>
      </c>
      <c r="M48" s="305">
        <f t="shared" si="4"/>
        <v>-8176.6231247036776</v>
      </c>
      <c r="N48" s="305">
        <f t="shared" si="4"/>
        <v>-8682.6884411286028</v>
      </c>
      <c r="O48" s="305">
        <f t="shared" si="4"/>
        <v>-9188.1721505149726</v>
      </c>
      <c r="P48" s="305">
        <f t="shared" si="4"/>
        <v>-9692.8782741446048</v>
      </c>
      <c r="Q48" s="305">
        <f t="shared" si="4"/>
        <v>-10196.602643002434</v>
      </c>
      <c r="R48" s="305">
        <f t="shared" si="4"/>
        <v>-10699.132629228976</v>
      </c>
      <c r="S48" s="305">
        <f t="shared" si="4"/>
        <v>-11200.246869568278</v>
      </c>
      <c r="T48" s="305">
        <f t="shared" si="4"/>
        <v>-11699.714980584095</v>
      </c>
      <c r="U48" s="305">
        <f t="shared" si="4"/>
        <v>-12197.297265410039</v>
      </c>
      <c r="V48" s="305">
        <f t="shared" si="4"/>
        <v>-12692.744411793059</v>
      </c>
      <c r="W48" s="305">
        <f t="shared" si="4"/>
        <v>-13185.79718118351</v>
      </c>
      <c r="X48" s="305">
        <f t="shared" si="4"/>
        <v>-13676.186088616992</v>
      </c>
      <c r="Y48" s="305">
        <f t="shared" si="4"/>
        <v>-14163.631073127595</v>
      </c>
      <c r="Z48" s="305">
        <f t="shared" si="4"/>
        <v>-14647.841158423578</v>
      </c>
      <c r="AA48" s="305">
        <f t="shared" si="4"/>
        <v>-15128.514103549793</v>
      </c>
      <c r="AB48" s="305">
        <f t="shared" si="4"/>
        <v>-15605.336043253852</v>
      </c>
      <c r="AC48" s="306">
        <f t="shared" si="4"/>
        <v>-16077.981117763537</v>
      </c>
    </row>
    <row r="49" spans="1:29" s="53" customFormat="1" ht="12">
      <c r="A49" s="44"/>
      <c r="B49" s="70"/>
      <c r="C49" s="62"/>
      <c r="D49" s="229"/>
      <c r="E49" s="236"/>
      <c r="F49" s="45"/>
      <c r="G49" s="59"/>
      <c r="H49" s="59"/>
      <c r="I49" s="59"/>
      <c r="J49" s="59"/>
      <c r="K49" s="59"/>
      <c r="L49" s="59"/>
      <c r="M49" s="59"/>
      <c r="N49" s="59"/>
      <c r="O49" s="59"/>
      <c r="P49" s="59"/>
      <c r="Q49" s="59"/>
      <c r="R49" s="59"/>
      <c r="S49" s="59"/>
      <c r="T49" s="59"/>
      <c r="U49" s="59"/>
      <c r="V49" s="59"/>
      <c r="W49" s="59"/>
      <c r="X49" s="59"/>
      <c r="Y49" s="59"/>
      <c r="AC49" s="283"/>
    </row>
    <row r="50" spans="1:29" s="53" customFormat="1" ht="12">
      <c r="A50" s="44"/>
      <c r="B50" s="70"/>
      <c r="C50" s="63" t="s">
        <v>149</v>
      </c>
      <c r="D50" s="229"/>
      <c r="E50" s="236"/>
      <c r="F50" s="45"/>
      <c r="G50" s="59"/>
      <c r="H50" s="59"/>
      <c r="I50" s="59"/>
      <c r="J50" s="59"/>
      <c r="K50" s="59"/>
      <c r="L50" s="59"/>
      <c r="M50" s="59"/>
      <c r="N50" s="59"/>
      <c r="O50" s="59"/>
      <c r="P50" s="59"/>
      <c r="Q50" s="59"/>
      <c r="R50" s="59"/>
      <c r="S50" s="59"/>
      <c r="T50" s="59"/>
      <c r="U50" s="59"/>
      <c r="V50" s="59"/>
      <c r="W50" s="59"/>
      <c r="X50" s="59"/>
      <c r="Y50" s="59"/>
      <c r="AC50" s="283"/>
    </row>
    <row r="51" spans="1:29" s="53" customFormat="1" ht="12">
      <c r="A51" s="44"/>
      <c r="B51" s="70"/>
      <c r="C51" s="243" t="s">
        <v>446</v>
      </c>
      <c r="D51" s="273">
        <f>'Mode Operating Assumptions'!C42</f>
        <v>14.425000000000001</v>
      </c>
      <c r="E51" s="236"/>
      <c r="F51" s="45"/>
      <c r="G51" s="59"/>
      <c r="H51" s="59"/>
      <c r="I51" s="59"/>
      <c r="J51" s="59"/>
      <c r="K51" s="59"/>
      <c r="L51" s="59"/>
      <c r="M51" s="59"/>
      <c r="N51" s="59"/>
      <c r="O51" s="59"/>
      <c r="P51" s="59"/>
      <c r="Q51" s="59"/>
      <c r="R51" s="59"/>
      <c r="S51" s="59"/>
      <c r="T51" s="59"/>
      <c r="U51" s="59"/>
      <c r="V51" s="59"/>
      <c r="W51" s="59"/>
      <c r="X51" s="59"/>
      <c r="Y51" s="59"/>
      <c r="AC51" s="283"/>
    </row>
    <row r="52" spans="1:29" s="53" customFormat="1" ht="12">
      <c r="A52" s="44"/>
      <c r="B52" s="70"/>
      <c r="C52" s="244" t="s">
        <v>402</v>
      </c>
      <c r="D52" s="273">
        <f>'Mode Operating Assumptions'!C166</f>
        <v>5.6070051072443761</v>
      </c>
      <c r="E52" s="236"/>
      <c r="F52" s="45"/>
      <c r="G52" s="59"/>
      <c r="H52" s="59"/>
      <c r="I52" s="59"/>
      <c r="J52" s="59"/>
      <c r="K52" s="59"/>
      <c r="L52" s="59"/>
      <c r="M52" s="59"/>
      <c r="N52" s="59"/>
      <c r="O52" s="59"/>
      <c r="P52" s="59"/>
      <c r="Q52" s="59"/>
      <c r="R52" s="59"/>
      <c r="S52" s="59"/>
      <c r="T52" s="59"/>
      <c r="U52" s="59"/>
      <c r="V52" s="59"/>
      <c r="W52" s="59"/>
      <c r="X52" s="59"/>
      <c r="Y52" s="59"/>
      <c r="AC52" s="283"/>
    </row>
    <row r="53" spans="1:29" s="53" customFormat="1" ht="12">
      <c r="A53" s="44"/>
      <c r="B53" s="70"/>
      <c r="C53" s="244" t="s">
        <v>414</v>
      </c>
      <c r="D53" s="273">
        <v>0.1</v>
      </c>
      <c r="E53" s="236"/>
      <c r="F53" s="45"/>
      <c r="G53" s="59"/>
      <c r="H53" s="59"/>
      <c r="I53" s="59"/>
      <c r="J53" s="59"/>
      <c r="K53" s="59"/>
      <c r="L53" s="59"/>
      <c r="M53" s="59"/>
      <c r="N53" s="59"/>
      <c r="O53" s="59"/>
      <c r="P53" s="59"/>
      <c r="Q53" s="59"/>
      <c r="R53" s="59"/>
      <c r="S53" s="59"/>
      <c r="T53" s="59"/>
      <c r="U53" s="59"/>
      <c r="V53" s="59"/>
      <c r="W53" s="59"/>
      <c r="X53" s="59"/>
      <c r="Y53" s="59"/>
      <c r="AC53" s="283"/>
    </row>
    <row r="54" spans="1:29" s="53" customFormat="1" ht="12">
      <c r="A54" s="44"/>
      <c r="B54" s="70"/>
      <c r="C54" s="78" t="s">
        <v>441</v>
      </c>
      <c r="D54" s="273">
        <f>+D51-D52-D53</f>
        <v>8.717994892755625</v>
      </c>
      <c r="E54" s="236"/>
      <c r="F54" s="252">
        <f t="shared" ref="F54:AC54" si="5">$D54*F38</f>
        <v>0</v>
      </c>
      <c r="G54" s="252">
        <f t="shared" si="5"/>
        <v>0</v>
      </c>
      <c r="H54" s="252">
        <f>$D54*H38</f>
        <v>28987.333018412453</v>
      </c>
      <c r="I54" s="252">
        <f t="shared" si="5"/>
        <v>31886.0663202537</v>
      </c>
      <c r="J54" s="252">
        <f t="shared" si="5"/>
        <v>34842.774288131768</v>
      </c>
      <c r="K54" s="252">
        <f t="shared" si="5"/>
        <v>37858.616415367396</v>
      </c>
      <c r="L54" s="252">
        <f t="shared" si="5"/>
        <v>40934.775385147746</v>
      </c>
      <c r="M54" s="252">
        <f t="shared" si="5"/>
        <v>44072.457534323701</v>
      </c>
      <c r="N54" s="252">
        <f t="shared" si="5"/>
        <v>47272.893326483201</v>
      </c>
      <c r="O54" s="252">
        <f t="shared" si="5"/>
        <v>50537.337834485828</v>
      </c>
      <c r="P54" s="252">
        <f t="shared" si="5"/>
        <v>53867.071232648574</v>
      </c>
      <c r="Q54" s="252">
        <f t="shared" si="5"/>
        <v>57263.399298774551</v>
      </c>
      <c r="R54" s="252">
        <f t="shared" si="5"/>
        <v>60727.653926223022</v>
      </c>
      <c r="S54" s="252">
        <f t="shared" si="5"/>
        <v>64261.193646220454</v>
      </c>
      <c r="T54" s="252">
        <f t="shared" si="5"/>
        <v>67865.404160617894</v>
      </c>
      <c r="U54" s="252">
        <f t="shared" si="5"/>
        <v>71541.698885303238</v>
      </c>
      <c r="V54" s="252">
        <f t="shared" si="5"/>
        <v>75291.51950448229</v>
      </c>
      <c r="W54" s="252">
        <f t="shared" si="5"/>
        <v>79116.336536044968</v>
      </c>
      <c r="X54" s="252">
        <f t="shared" si="5"/>
        <v>83017.649908238847</v>
      </c>
      <c r="Y54" s="252">
        <f t="shared" si="5"/>
        <v>86996.989547876641</v>
      </c>
      <c r="Z54" s="252">
        <f t="shared" si="5"/>
        <v>91055.915980307167</v>
      </c>
      <c r="AA54" s="252">
        <f t="shared" si="5"/>
        <v>95196.020941386276</v>
      </c>
      <c r="AB54" s="252">
        <f t="shared" si="5"/>
        <v>99418.928001687047</v>
      </c>
      <c r="AC54" s="286">
        <f t="shared" si="5"/>
        <v>103726.29320319378</v>
      </c>
    </row>
    <row r="55" spans="1:29" s="53" customFormat="1" ht="12">
      <c r="A55" s="44"/>
      <c r="C55" s="62" t="s">
        <v>430</v>
      </c>
      <c r="D55" s="229"/>
      <c r="E55" s="236"/>
      <c r="F55" s="305">
        <f>F54</f>
        <v>0</v>
      </c>
      <c r="G55" s="305">
        <f t="shared" ref="G55:AC55" si="6">G54</f>
        <v>0</v>
      </c>
      <c r="H55" s="305">
        <f t="shared" si="6"/>
        <v>28987.333018412453</v>
      </c>
      <c r="I55" s="305">
        <f t="shared" si="6"/>
        <v>31886.0663202537</v>
      </c>
      <c r="J55" s="305">
        <f t="shared" si="6"/>
        <v>34842.774288131768</v>
      </c>
      <c r="K55" s="305">
        <f t="shared" si="6"/>
        <v>37858.616415367396</v>
      </c>
      <c r="L55" s="305">
        <f t="shared" si="6"/>
        <v>40934.775385147746</v>
      </c>
      <c r="M55" s="305">
        <f t="shared" si="6"/>
        <v>44072.457534323701</v>
      </c>
      <c r="N55" s="305">
        <f t="shared" si="6"/>
        <v>47272.893326483201</v>
      </c>
      <c r="O55" s="305">
        <f t="shared" si="6"/>
        <v>50537.337834485828</v>
      </c>
      <c r="P55" s="305">
        <f t="shared" si="6"/>
        <v>53867.071232648574</v>
      </c>
      <c r="Q55" s="305">
        <f t="shared" si="6"/>
        <v>57263.399298774551</v>
      </c>
      <c r="R55" s="305">
        <f t="shared" si="6"/>
        <v>60727.653926223022</v>
      </c>
      <c r="S55" s="305">
        <f t="shared" si="6"/>
        <v>64261.193646220454</v>
      </c>
      <c r="T55" s="305">
        <f t="shared" si="6"/>
        <v>67865.404160617894</v>
      </c>
      <c r="U55" s="305">
        <f t="shared" si="6"/>
        <v>71541.698885303238</v>
      </c>
      <c r="V55" s="305">
        <f t="shared" si="6"/>
        <v>75291.51950448229</v>
      </c>
      <c r="W55" s="305">
        <f t="shared" si="6"/>
        <v>79116.336536044968</v>
      </c>
      <c r="X55" s="305">
        <f t="shared" si="6"/>
        <v>83017.649908238847</v>
      </c>
      <c r="Y55" s="305">
        <f t="shared" si="6"/>
        <v>86996.989547876641</v>
      </c>
      <c r="Z55" s="305">
        <f t="shared" si="6"/>
        <v>91055.915980307167</v>
      </c>
      <c r="AA55" s="305">
        <f t="shared" si="6"/>
        <v>95196.020941386276</v>
      </c>
      <c r="AB55" s="305">
        <f t="shared" si="6"/>
        <v>99418.928001687047</v>
      </c>
      <c r="AC55" s="306">
        <f t="shared" si="6"/>
        <v>103726.29320319378</v>
      </c>
    </row>
    <row r="56" spans="1:29" s="53" customFormat="1" ht="12">
      <c r="A56" s="44"/>
      <c r="B56" s="70"/>
      <c r="D56" s="229"/>
      <c r="E56" s="236"/>
      <c r="F56" s="45"/>
      <c r="G56" s="59"/>
      <c r="H56" s="59"/>
      <c r="I56" s="59"/>
      <c r="J56" s="59"/>
      <c r="K56" s="59"/>
      <c r="L56" s="59"/>
      <c r="M56" s="59"/>
      <c r="N56" s="59"/>
      <c r="O56" s="59"/>
      <c r="P56" s="59"/>
      <c r="Q56" s="59"/>
      <c r="R56" s="59"/>
      <c r="S56" s="59"/>
      <c r="T56" s="59"/>
      <c r="U56" s="59"/>
      <c r="V56" s="59"/>
      <c r="W56" s="59"/>
      <c r="X56" s="59"/>
      <c r="Y56" s="59"/>
      <c r="AC56" s="283"/>
    </row>
    <row r="57" spans="1:29" s="53" customFormat="1" ht="12">
      <c r="A57" s="64" t="s">
        <v>359</v>
      </c>
      <c r="B57" s="64"/>
      <c r="D57" s="228"/>
      <c r="E57" s="236"/>
      <c r="F57" s="45"/>
      <c r="G57" s="57"/>
      <c r="AC57" s="283"/>
    </row>
    <row r="58" spans="1:29" s="53" customFormat="1" ht="12">
      <c r="A58" s="64"/>
      <c r="B58" s="64"/>
      <c r="D58" s="228"/>
      <c r="E58" s="236"/>
      <c r="F58" s="45"/>
      <c r="G58" s="57"/>
      <c r="AC58" s="283"/>
    </row>
    <row r="59" spans="1:29" s="53" customFormat="1" ht="12">
      <c r="A59" s="45"/>
      <c r="B59" s="45"/>
      <c r="C59" s="64" t="s">
        <v>94</v>
      </c>
      <c r="D59" s="228"/>
      <c r="E59" s="236"/>
      <c r="F59" s="45"/>
      <c r="G59" s="57"/>
      <c r="AC59" s="283"/>
    </row>
    <row r="60" spans="1:29" s="53" customFormat="1" ht="12">
      <c r="A60" s="45"/>
      <c r="B60" s="45"/>
      <c r="C60" s="55" t="s">
        <v>500</v>
      </c>
      <c r="D60" s="279">
        <v>0.5</v>
      </c>
      <c r="E60" s="236"/>
      <c r="F60" s="45"/>
      <c r="G60" s="57"/>
      <c r="AC60" s="283"/>
    </row>
    <row r="61" spans="1:29" s="53" customFormat="1" ht="12">
      <c r="A61" s="45"/>
      <c r="B61" s="45"/>
      <c r="C61" s="78"/>
      <c r="D61" s="228"/>
      <c r="E61" s="236"/>
      <c r="F61" s="45"/>
      <c r="G61" s="57"/>
      <c r="AC61" s="283"/>
    </row>
    <row r="62" spans="1:29" s="53" customFormat="1" ht="12">
      <c r="A62" s="45"/>
      <c r="B62" s="5" t="s">
        <v>277</v>
      </c>
      <c r="C62" s="78"/>
      <c r="D62" s="228"/>
      <c r="E62" s="236"/>
      <c r="F62" s="45"/>
      <c r="G62" s="57"/>
      <c r="AC62" s="283"/>
    </row>
    <row r="63" spans="1:29" s="53" customFormat="1" ht="12">
      <c r="A63" s="44"/>
      <c r="B63" s="5"/>
      <c r="C63" s="78" t="s">
        <v>427</v>
      </c>
      <c r="D63" s="229"/>
      <c r="E63" s="236"/>
      <c r="F63" s="45">
        <f t="shared" ref="F63:AC63" si="7">F13</f>
        <v>0</v>
      </c>
      <c r="G63" s="45">
        <f t="shared" si="7"/>
        <v>0</v>
      </c>
      <c r="H63" s="45">
        <f t="shared" si="7"/>
        <v>175</v>
      </c>
      <c r="I63" s="263">
        <f t="shared" si="7"/>
        <v>192.5</v>
      </c>
      <c r="J63" s="263">
        <f t="shared" si="7"/>
        <v>210.35000000000002</v>
      </c>
      <c r="K63" s="263">
        <f t="shared" si="7"/>
        <v>228.55699999999999</v>
      </c>
      <c r="L63" s="263">
        <f t="shared" si="7"/>
        <v>247.12814</v>
      </c>
      <c r="M63" s="263">
        <f t="shared" si="7"/>
        <v>266.07070280000011</v>
      </c>
      <c r="N63" s="263">
        <f t="shared" si="7"/>
        <v>285.3921168560002</v>
      </c>
      <c r="O63" s="263">
        <f t="shared" si="7"/>
        <v>305.09995919312007</v>
      </c>
      <c r="P63" s="263">
        <f t="shared" si="7"/>
        <v>325.2019583769827</v>
      </c>
      <c r="Q63" s="263">
        <f t="shared" si="7"/>
        <v>345.70599754452235</v>
      </c>
      <c r="R63" s="263">
        <f t="shared" si="7"/>
        <v>366.62011749541273</v>
      </c>
      <c r="S63" s="263">
        <f t="shared" si="7"/>
        <v>387.95251984532081</v>
      </c>
      <c r="T63" s="263">
        <f t="shared" si="7"/>
        <v>409.71157024222742</v>
      </c>
      <c r="U63" s="263">
        <f t="shared" si="7"/>
        <v>431.90580164707194</v>
      </c>
      <c r="V63" s="263">
        <f t="shared" si="7"/>
        <v>454.54391768001335</v>
      </c>
      <c r="W63" s="263">
        <f t="shared" si="7"/>
        <v>477.63479603361378</v>
      </c>
      <c r="X63" s="263">
        <f t="shared" si="7"/>
        <v>501.18749195428592</v>
      </c>
      <c r="Y63" s="263">
        <f t="shared" si="7"/>
        <v>525.21124179337187</v>
      </c>
      <c r="Z63" s="263">
        <f t="shared" si="7"/>
        <v>549.71546662923924</v>
      </c>
      <c r="AA63" s="263">
        <f t="shared" si="7"/>
        <v>574.70977596182388</v>
      </c>
      <c r="AB63" s="263">
        <f t="shared" si="7"/>
        <v>600.20397148106065</v>
      </c>
      <c r="AC63" s="285">
        <f t="shared" si="7"/>
        <v>626.20805091068178</v>
      </c>
    </row>
    <row r="64" spans="1:29" s="53" customFormat="1" ht="12">
      <c r="A64" s="44"/>
      <c r="B64" s="5"/>
      <c r="C64" s="78" t="s">
        <v>443</v>
      </c>
      <c r="D64" s="229"/>
      <c r="E64" s="236"/>
      <c r="F64" s="275">
        <f>F46*$D$60</f>
        <v>-0.86450075201061471</v>
      </c>
      <c r="G64" s="275">
        <f t="shared" ref="G64:AC64" si="8">G46*$D$60</f>
        <v>-0.85661734993491256</v>
      </c>
      <c r="H64" s="275">
        <f t="shared" si="8"/>
        <v>-0.8487053533241018</v>
      </c>
      <c r="I64" s="275">
        <f t="shared" si="8"/>
        <v>-0.84076460631913852</v>
      </c>
      <c r="J64" s="275">
        <f t="shared" si="8"/>
        <v>-0.83279495192620479</v>
      </c>
      <c r="K64" s="275">
        <f t="shared" si="8"/>
        <v>-0.82479623200635954</v>
      </c>
      <c r="L64" s="275">
        <f t="shared" si="8"/>
        <v>-0.81676828726508299</v>
      </c>
      <c r="M64" s="275">
        <f t="shared" si="8"/>
        <v>-0.80871095724170017</v>
      </c>
      <c r="N64" s="275">
        <f t="shared" si="8"/>
        <v>-0.80062408029869081</v>
      </c>
      <c r="O64" s="275">
        <f t="shared" si="8"/>
        <v>-0.79250749361087669</v>
      </c>
      <c r="P64" s="275">
        <f t="shared" si="8"/>
        <v>-0.78436103315450056</v>
      </c>
      <c r="Q64" s="275">
        <f t="shared" si="8"/>
        <v>-0.77618453369616924</v>
      </c>
      <c r="R64" s="275">
        <f t="shared" si="8"/>
        <v>-0.76797782878169008</v>
      </c>
      <c r="S64" s="275">
        <f t="shared" si="8"/>
        <v>-0.75974075072476799</v>
      </c>
      <c r="T64" s="275">
        <f t="shared" si="8"/>
        <v>-0.75147313059558707</v>
      </c>
      <c r="U64" s="275">
        <f t="shared" si="8"/>
        <v>-0.7431747982092678</v>
      </c>
      <c r="V64" s="275">
        <f t="shared" si="8"/>
        <v>-0.73484558211417683</v>
      </c>
      <c r="W64" s="275">
        <f t="shared" si="8"/>
        <v>-0.7264853095801338</v>
      </c>
      <c r="X64" s="275">
        <f t="shared" si="8"/>
        <v>-0.71809380658645905</v>
      </c>
      <c r="Y64" s="275">
        <f t="shared" si="8"/>
        <v>-0.709670897809906</v>
      </c>
      <c r="Z64" s="275">
        <f t="shared" si="8"/>
        <v>-0.70121640661245044</v>
      </c>
      <c r="AA64" s="275">
        <f t="shared" si="8"/>
        <v>-0.69273015502893509</v>
      </c>
      <c r="AB64" s="275">
        <f t="shared" si="8"/>
        <v>-0.68421196375459692</v>
      </c>
      <c r="AC64" s="275">
        <f t="shared" si="8"/>
        <v>-0.67566165213242213</v>
      </c>
    </row>
    <row r="65" spans="1:29" s="53" customFormat="1" ht="12">
      <c r="A65" s="44"/>
      <c r="B65" s="5"/>
      <c r="C65" s="244" t="s">
        <v>544</v>
      </c>
      <c r="D65" s="228"/>
      <c r="E65" s="236"/>
      <c r="F65" s="445">
        <f>F64*F63</f>
        <v>0</v>
      </c>
      <c r="G65" s="445">
        <f t="shared" ref="G65:AB65" si="9">G64*G63</f>
        <v>0</v>
      </c>
      <c r="H65" s="445">
        <f t="shared" si="9"/>
        <v>-148.52343683171782</v>
      </c>
      <c r="I65" s="445">
        <f t="shared" si="9"/>
        <v>-161.84718671643415</v>
      </c>
      <c r="J65" s="445">
        <f t="shared" si="9"/>
        <v>-175.1784181376772</v>
      </c>
      <c r="K65" s="445">
        <f t="shared" si="9"/>
        <v>-188.5129523986775</v>
      </c>
      <c r="L65" s="445">
        <f t="shared" si="9"/>
        <v>-201.84642764280565</v>
      </c>
      <c r="M65" s="445">
        <f t="shared" si="9"/>
        <v>-215.17429275536</v>
      </c>
      <c r="N65" s="445">
        <f t="shared" si="9"/>
        <v>-228.49180108233165</v>
      </c>
      <c r="O65" s="445">
        <f t="shared" si="9"/>
        <v>-241.79400396092035</v>
      </c>
      <c r="P65" s="445">
        <f t="shared" si="9"/>
        <v>-255.07574405643703</v>
      </c>
      <c r="Q65" s="445">
        <f t="shared" si="9"/>
        <v>-268.33164850006409</v>
      </c>
      <c r="R65" s="445">
        <f t="shared" si="9"/>
        <v>-281.55612182181517</v>
      </c>
      <c r="S65" s="445">
        <f t="shared" si="9"/>
        <v>-294.74333867284946</v>
      </c>
      <c r="T65" s="445">
        <f t="shared" si="9"/>
        <v>-307.88723633116041</v>
      </c>
      <c r="U65" s="445">
        <f t="shared" si="9"/>
        <v>-320.98150698447472</v>
      </c>
      <c r="V65" s="445">
        <f t="shared" si="9"/>
        <v>-334.01958978402786</v>
      </c>
      <c r="W65" s="445">
        <f t="shared" si="9"/>
        <v>-346.99466266272395</v>
      </c>
      <c r="X65" s="445">
        <f t="shared" si="9"/>
        <v>-359.89963391097348</v>
      </c>
      <c r="Y65" s="445">
        <f t="shared" si="9"/>
        <v>-372.72713350335783</v>
      </c>
      <c r="Z65" s="445">
        <f t="shared" si="9"/>
        <v>-385.46950416904156</v>
      </c>
      <c r="AA65" s="445">
        <f t="shared" si="9"/>
        <v>-398.11879219867882</v>
      </c>
      <c r="AB65" s="445">
        <f t="shared" si="9"/>
        <v>-410.66673798036459</v>
      </c>
      <c r="AC65" s="305">
        <f t="shared" ref="AC65" si="10">AC64*AC63</f>
        <v>-423.10476625693514</v>
      </c>
    </row>
    <row r="66" spans="1:29" s="53" customFormat="1" ht="12">
      <c r="A66" s="44"/>
      <c r="B66" s="5"/>
      <c r="C66" s="78" t="s">
        <v>444</v>
      </c>
      <c r="D66" s="273">
        <f>D54</f>
        <v>8.717994892755625</v>
      </c>
      <c r="E66" s="236"/>
      <c r="F66" s="445">
        <f>$D66*F63</f>
        <v>0</v>
      </c>
      <c r="G66" s="445">
        <f t="shared" ref="G66:AB66" si="11">$D66*G63</f>
        <v>0</v>
      </c>
      <c r="H66" s="445">
        <f t="shared" si="11"/>
        <v>1525.6491062322343</v>
      </c>
      <c r="I66" s="445">
        <f t="shared" si="11"/>
        <v>1678.2140168554579</v>
      </c>
      <c r="J66" s="445">
        <f t="shared" si="11"/>
        <v>1833.8302256911459</v>
      </c>
      <c r="K66" s="445">
        <f t="shared" si="11"/>
        <v>1992.5587587035473</v>
      </c>
      <c r="L66" s="445">
        <f t="shared" si="11"/>
        <v>2154.4618623761971</v>
      </c>
      <c r="M66" s="445">
        <f t="shared" si="11"/>
        <v>2319.6030281223007</v>
      </c>
      <c r="N66" s="445">
        <f t="shared" si="11"/>
        <v>2488.0470171833263</v>
      </c>
      <c r="O66" s="445">
        <f t="shared" si="11"/>
        <v>2659.8598860255702</v>
      </c>
      <c r="P66" s="445">
        <f t="shared" si="11"/>
        <v>2835.1090122446626</v>
      </c>
      <c r="Q66" s="445">
        <f t="shared" si="11"/>
        <v>3013.8631209881346</v>
      </c>
      <c r="R66" s="445">
        <f t="shared" si="11"/>
        <v>3196.1923119064754</v>
      </c>
      <c r="S66" s="445">
        <f t="shared" si="11"/>
        <v>3382.1680866431821</v>
      </c>
      <c r="T66" s="445">
        <f t="shared" si="11"/>
        <v>3571.8633768746263</v>
      </c>
      <c r="U66" s="445">
        <f t="shared" si="11"/>
        <v>3765.3525729106973</v>
      </c>
      <c r="V66" s="445">
        <f t="shared" si="11"/>
        <v>3962.7115528674894</v>
      </c>
      <c r="W66" s="445">
        <f t="shared" si="11"/>
        <v>4164.0177124234197</v>
      </c>
      <c r="X66" s="445">
        <f t="shared" si="11"/>
        <v>4369.3499951704653</v>
      </c>
      <c r="Y66" s="445">
        <f t="shared" si="11"/>
        <v>4578.788923572456</v>
      </c>
      <c r="Z66" s="445">
        <f t="shared" si="11"/>
        <v>4792.4166305424833</v>
      </c>
      <c r="AA66" s="445">
        <f t="shared" si="11"/>
        <v>5010.3168916519098</v>
      </c>
      <c r="AB66" s="445">
        <f t="shared" si="11"/>
        <v>5232.5751579835296</v>
      </c>
      <c r="AC66" s="306">
        <f t="shared" ref="AC66" si="12">$D66*AC63</f>
        <v>5459.2785896417781</v>
      </c>
    </row>
    <row r="67" spans="1:29" s="53" customFormat="1" ht="12">
      <c r="A67" s="45"/>
      <c r="B67" s="45"/>
      <c r="D67" s="228"/>
      <c r="E67" s="236"/>
      <c r="F67" s="45"/>
      <c r="G67" s="45"/>
      <c r="H67" s="45"/>
      <c r="I67" s="45"/>
      <c r="J67" s="45"/>
      <c r="K67" s="45"/>
      <c r="L67" s="45"/>
      <c r="M67" s="45"/>
      <c r="N67" s="45"/>
      <c r="O67" s="45"/>
      <c r="P67" s="45"/>
      <c r="Q67" s="45"/>
      <c r="R67" s="45"/>
      <c r="S67" s="45"/>
      <c r="T67" s="45"/>
      <c r="U67" s="45"/>
      <c r="V67" s="45"/>
      <c r="W67" s="45"/>
      <c r="X67" s="45"/>
      <c r="Y67" s="45"/>
      <c r="Z67" s="45"/>
      <c r="AA67" s="45"/>
      <c r="AB67" s="45"/>
      <c r="AC67" s="283"/>
    </row>
    <row r="68" spans="1:29" s="53" customFormat="1" ht="12">
      <c r="A68" s="45"/>
      <c r="B68" s="45"/>
      <c r="C68" s="5" t="s">
        <v>503</v>
      </c>
      <c r="D68" s="228"/>
      <c r="E68" s="236"/>
      <c r="F68" s="305">
        <f>F65+F66</f>
        <v>0</v>
      </c>
      <c r="G68" s="305">
        <f t="shared" ref="G68:AB68" si="13">G65+G66</f>
        <v>0</v>
      </c>
      <c r="H68" s="305">
        <f t="shared" si="13"/>
        <v>1377.1256694005165</v>
      </c>
      <c r="I68" s="305">
        <f t="shared" si="13"/>
        <v>1516.3668301390237</v>
      </c>
      <c r="J68" s="305">
        <f t="shared" si="13"/>
        <v>1658.6518075534686</v>
      </c>
      <c r="K68" s="305">
        <f t="shared" si="13"/>
        <v>1804.0458063048698</v>
      </c>
      <c r="L68" s="305">
        <f t="shared" si="13"/>
        <v>1952.6154347333916</v>
      </c>
      <c r="M68" s="305">
        <f t="shared" si="13"/>
        <v>2104.4287353669406</v>
      </c>
      <c r="N68" s="305">
        <f t="shared" si="13"/>
        <v>2259.5552161009946</v>
      </c>
      <c r="O68" s="305">
        <f t="shared" si="13"/>
        <v>2418.0658820646499</v>
      </c>
      <c r="P68" s="305">
        <f t="shared" si="13"/>
        <v>2580.0332681882255</v>
      </c>
      <c r="Q68" s="305">
        <f t="shared" si="13"/>
        <v>2745.5314724880704</v>
      </c>
      <c r="R68" s="305">
        <f t="shared" si="13"/>
        <v>2914.6361900846605</v>
      </c>
      <c r="S68" s="305">
        <f t="shared" si="13"/>
        <v>3087.4247479703326</v>
      </c>
      <c r="T68" s="305">
        <f t="shared" si="13"/>
        <v>3263.976140543466</v>
      </c>
      <c r="U68" s="305">
        <f t="shared" si="13"/>
        <v>3444.3710659262224</v>
      </c>
      <c r="V68" s="305">
        <f t="shared" si="13"/>
        <v>3628.6919630834618</v>
      </c>
      <c r="W68" s="305">
        <f t="shared" si="13"/>
        <v>3817.0230497606958</v>
      </c>
      <c r="X68" s="305">
        <f t="shared" si="13"/>
        <v>4009.4503612594917</v>
      </c>
      <c r="Y68" s="305">
        <f t="shared" si="13"/>
        <v>4206.0617900690986</v>
      </c>
      <c r="Z68" s="305">
        <f t="shared" si="13"/>
        <v>4406.9471263734413</v>
      </c>
      <c r="AA68" s="305">
        <f t="shared" si="13"/>
        <v>4612.1980994532314</v>
      </c>
      <c r="AB68" s="305">
        <f t="shared" si="13"/>
        <v>4821.9084200031648</v>
      </c>
      <c r="AC68" s="283"/>
    </row>
    <row r="69" spans="1:29" s="53" customFormat="1" ht="12">
      <c r="A69" s="45"/>
      <c r="B69" s="45"/>
      <c r="D69" s="228"/>
      <c r="E69" s="236"/>
      <c r="F69" s="45"/>
      <c r="G69" s="57"/>
      <c r="AC69" s="283"/>
    </row>
    <row r="70" spans="1:29" s="53" customFormat="1" ht="12">
      <c r="A70" s="45"/>
      <c r="B70" s="5" t="s">
        <v>524</v>
      </c>
      <c r="C70" s="70" t="s">
        <v>522</v>
      </c>
      <c r="D70" s="228"/>
      <c r="E70" s="236"/>
      <c r="G70" s="57"/>
      <c r="AC70" s="283"/>
    </row>
    <row r="71" spans="1:29" s="53" customFormat="1" ht="12">
      <c r="A71" s="45"/>
      <c r="B71" s="55" t="s">
        <v>525</v>
      </c>
      <c r="C71" s="244" t="s">
        <v>526</v>
      </c>
      <c r="D71" s="307">
        <v>5.3999999999999999E-2</v>
      </c>
      <c r="E71" s="236"/>
      <c r="G71" s="57"/>
      <c r="AC71" s="283"/>
    </row>
    <row r="72" spans="1:29" s="53" customFormat="1" ht="12">
      <c r="A72" s="45"/>
      <c r="D72" s="228"/>
      <c r="E72" s="236"/>
      <c r="F72" s="275">
        <f>-F20*$D$71</f>
        <v>0</v>
      </c>
      <c r="G72" s="275">
        <f t="shared" ref="G72:AC72" si="14">-G20*$D$71</f>
        <v>0</v>
      </c>
      <c r="H72" s="275">
        <f t="shared" si="14"/>
        <v>4488.75</v>
      </c>
      <c r="I72" s="275">
        <f t="shared" si="14"/>
        <v>4937.625</v>
      </c>
      <c r="J72" s="275">
        <f t="shared" si="14"/>
        <v>5395.4774999999991</v>
      </c>
      <c r="K72" s="275">
        <f t="shared" si="14"/>
        <v>5862.4870499999997</v>
      </c>
      <c r="L72" s="275">
        <f t="shared" si="14"/>
        <v>6338.8367909999997</v>
      </c>
      <c r="M72" s="275">
        <f t="shared" si="14"/>
        <v>6824.7135268200009</v>
      </c>
      <c r="N72" s="275">
        <f t="shared" si="14"/>
        <v>7320.3077973564059</v>
      </c>
      <c r="O72" s="275">
        <f t="shared" si="14"/>
        <v>7825.8139533035283</v>
      </c>
      <c r="P72" s="275">
        <f t="shared" si="14"/>
        <v>8341.4302323696047</v>
      </c>
      <c r="Q72" s="275">
        <f t="shared" si="14"/>
        <v>8867.3588370169964</v>
      </c>
      <c r="R72" s="275">
        <f t="shared" si="14"/>
        <v>9403.8060137573357</v>
      </c>
      <c r="S72" s="275">
        <f t="shared" si="14"/>
        <v>9950.9821340324779</v>
      </c>
      <c r="T72" s="275">
        <f t="shared" si="14"/>
        <v>10509.101776713132</v>
      </c>
      <c r="U72" s="275">
        <f t="shared" si="14"/>
        <v>11078.383812247395</v>
      </c>
      <c r="V72" s="275">
        <f t="shared" si="14"/>
        <v>11659.051488492341</v>
      </c>
      <c r="W72" s="275">
        <f t="shared" si="14"/>
        <v>12251.332518262192</v>
      </c>
      <c r="X72" s="275">
        <f t="shared" si="14"/>
        <v>12855.459168627433</v>
      </c>
      <c r="Y72" s="275">
        <f t="shared" si="14"/>
        <v>13471.668351999986</v>
      </c>
      <c r="Z72" s="275">
        <f t="shared" si="14"/>
        <v>14100.201719039986</v>
      </c>
      <c r="AA72" s="275">
        <f t="shared" si="14"/>
        <v>14741.30575342078</v>
      </c>
      <c r="AB72" s="275">
        <f t="shared" si="14"/>
        <v>15395.231868489202</v>
      </c>
      <c r="AC72" s="275">
        <f t="shared" si="14"/>
        <v>16062.236505858986</v>
      </c>
    </row>
    <row r="73" spans="1:29" s="53" customFormat="1" ht="12">
      <c r="A73" s="45"/>
      <c r="B73" s="45"/>
      <c r="C73" s="5"/>
      <c r="D73" s="228"/>
      <c r="E73" s="236"/>
      <c r="F73" s="45"/>
      <c r="G73" s="57"/>
      <c r="AC73" s="283"/>
    </row>
    <row r="74" spans="1:29" s="53" customFormat="1" ht="12">
      <c r="A74" s="45"/>
      <c r="B74" s="45"/>
      <c r="C74" s="5" t="s">
        <v>534</v>
      </c>
      <c r="D74" s="228"/>
      <c r="E74" s="236"/>
      <c r="F74" s="309">
        <f>F72</f>
        <v>0</v>
      </c>
      <c r="G74" s="309">
        <f t="shared" ref="G74:AC74" si="15">G72</f>
        <v>0</v>
      </c>
      <c r="H74" s="309">
        <f t="shared" si="15"/>
        <v>4488.75</v>
      </c>
      <c r="I74" s="309">
        <f t="shared" si="15"/>
        <v>4937.625</v>
      </c>
      <c r="J74" s="309">
        <f t="shared" si="15"/>
        <v>5395.4774999999991</v>
      </c>
      <c r="K74" s="309">
        <f t="shared" si="15"/>
        <v>5862.4870499999997</v>
      </c>
      <c r="L74" s="309">
        <f t="shared" si="15"/>
        <v>6338.8367909999997</v>
      </c>
      <c r="M74" s="309">
        <f t="shared" si="15"/>
        <v>6824.7135268200009</v>
      </c>
      <c r="N74" s="309">
        <f t="shared" si="15"/>
        <v>7320.3077973564059</v>
      </c>
      <c r="O74" s="309">
        <f t="shared" si="15"/>
        <v>7825.8139533035283</v>
      </c>
      <c r="P74" s="309">
        <f t="shared" si="15"/>
        <v>8341.4302323696047</v>
      </c>
      <c r="Q74" s="309">
        <f t="shared" si="15"/>
        <v>8867.3588370169964</v>
      </c>
      <c r="R74" s="309">
        <f t="shared" si="15"/>
        <v>9403.8060137573357</v>
      </c>
      <c r="S74" s="309">
        <f t="shared" si="15"/>
        <v>9950.9821340324779</v>
      </c>
      <c r="T74" s="309">
        <f t="shared" si="15"/>
        <v>10509.101776713132</v>
      </c>
      <c r="U74" s="309">
        <f t="shared" si="15"/>
        <v>11078.383812247395</v>
      </c>
      <c r="V74" s="309">
        <f t="shared" si="15"/>
        <v>11659.051488492341</v>
      </c>
      <c r="W74" s="309">
        <f t="shared" si="15"/>
        <v>12251.332518262192</v>
      </c>
      <c r="X74" s="309">
        <f t="shared" si="15"/>
        <v>12855.459168627433</v>
      </c>
      <c r="Y74" s="309">
        <f t="shared" si="15"/>
        <v>13471.668351999986</v>
      </c>
      <c r="Z74" s="309">
        <f t="shared" si="15"/>
        <v>14100.201719039986</v>
      </c>
      <c r="AA74" s="309">
        <f t="shared" si="15"/>
        <v>14741.30575342078</v>
      </c>
      <c r="AB74" s="309">
        <f t="shared" si="15"/>
        <v>15395.231868489202</v>
      </c>
      <c r="AC74" s="309">
        <f t="shared" si="15"/>
        <v>16062.236505858986</v>
      </c>
    </row>
    <row r="75" spans="1:29" s="53" customFormat="1" ht="12">
      <c r="A75" s="45"/>
      <c r="B75" s="45"/>
      <c r="C75" s="5"/>
      <c r="D75" s="228"/>
      <c r="E75" s="236"/>
      <c r="F75" s="45"/>
      <c r="G75" s="57"/>
      <c r="AC75" s="283"/>
    </row>
    <row r="76" spans="1:29" s="53" customFormat="1" ht="12">
      <c r="A76" s="45"/>
      <c r="B76" s="55" t="s">
        <v>518</v>
      </c>
      <c r="C76" s="5"/>
      <c r="D76" s="228"/>
      <c r="E76" s="236"/>
      <c r="F76" s="252">
        <f>F21</f>
        <v>0</v>
      </c>
      <c r="G76" s="252">
        <f t="shared" ref="G76:AC76" si="16">G21</f>
        <v>0</v>
      </c>
      <c r="H76" s="252">
        <f t="shared" si="16"/>
        <v>14002.812340511864</v>
      </c>
      <c r="I76" s="252">
        <f t="shared" si="16"/>
        <v>15070.925870716565</v>
      </c>
      <c r="J76" s="252">
        <f t="shared" si="16"/>
        <v>16120.767385037128</v>
      </c>
      <c r="K76" s="252">
        <f t="shared" si="16"/>
        <v>17153.99548950087</v>
      </c>
      <c r="L76" s="252">
        <f t="shared" si="16"/>
        <v>18172.144707013758</v>
      </c>
      <c r="M76" s="252">
        <f t="shared" si="16"/>
        <v>19176.637995980014</v>
      </c>
      <c r="N76" s="252">
        <f t="shared" si="16"/>
        <v>20558.306936426961</v>
      </c>
      <c r="O76" s="252">
        <f t="shared" si="16"/>
        <v>21966.335078754906</v>
      </c>
      <c r="P76" s="252">
        <f t="shared" si="16"/>
        <v>23401.236732506695</v>
      </c>
      <c r="Q76" s="252">
        <f t="shared" si="16"/>
        <v>24863.53623647898</v>
      </c>
      <c r="R76" s="252">
        <f t="shared" si="16"/>
        <v>26353.76815444485</v>
      </c>
      <c r="S76" s="252">
        <f t="shared" si="16"/>
        <v>27872.477474698011</v>
      </c>
      <c r="T76" s="252">
        <f t="shared" si="16"/>
        <v>29420.219813493699</v>
      </c>
      <c r="U76" s="252">
        <f t="shared" si="16"/>
        <v>30997.561622462006</v>
      </c>
      <c r="V76" s="252">
        <f t="shared" si="16"/>
        <v>32605.080400071773</v>
      </c>
      <c r="W76" s="252">
        <f t="shared" si="16"/>
        <v>34243.364907223695</v>
      </c>
      <c r="X76" s="252">
        <f t="shared" si="16"/>
        <v>35913.015387053543</v>
      </c>
      <c r="Y76" s="252">
        <f t="shared" si="16"/>
        <v>37614.643789027919</v>
      </c>
      <c r="Z76" s="252">
        <f t="shared" si="16"/>
        <v>39348.873997415947</v>
      </c>
      <c r="AA76" s="252">
        <f t="shared" si="16"/>
        <v>41116.342064223019</v>
      </c>
      <c r="AB76" s="252">
        <f t="shared" si="16"/>
        <v>42917.696446673333</v>
      </c>
      <c r="AC76" s="252">
        <f t="shared" si="16"/>
        <v>44753.598249330076</v>
      </c>
    </row>
    <row r="77" spans="1:29" s="5" customFormat="1" ht="12">
      <c r="A77" s="58"/>
      <c r="B77" s="58"/>
      <c r="C77" s="5" t="s">
        <v>614</v>
      </c>
      <c r="D77" s="231"/>
      <c r="E77" s="239"/>
      <c r="F77" s="83">
        <f>F76</f>
        <v>0</v>
      </c>
      <c r="G77" s="83">
        <f t="shared" ref="G77:AC77" si="17">G76</f>
        <v>0</v>
      </c>
      <c r="H77" s="83">
        <f t="shared" si="17"/>
        <v>14002.812340511864</v>
      </c>
      <c r="I77" s="83">
        <f t="shared" si="17"/>
        <v>15070.925870716565</v>
      </c>
      <c r="J77" s="83">
        <f t="shared" si="17"/>
        <v>16120.767385037128</v>
      </c>
      <c r="K77" s="83">
        <f t="shared" si="17"/>
        <v>17153.99548950087</v>
      </c>
      <c r="L77" s="83">
        <f t="shared" si="17"/>
        <v>18172.144707013758</v>
      </c>
      <c r="M77" s="83">
        <f t="shared" si="17"/>
        <v>19176.637995980014</v>
      </c>
      <c r="N77" s="83">
        <f t="shared" si="17"/>
        <v>20558.306936426961</v>
      </c>
      <c r="O77" s="83">
        <f t="shared" si="17"/>
        <v>21966.335078754906</v>
      </c>
      <c r="P77" s="83">
        <f t="shared" si="17"/>
        <v>23401.236732506695</v>
      </c>
      <c r="Q77" s="83">
        <f t="shared" si="17"/>
        <v>24863.53623647898</v>
      </c>
      <c r="R77" s="83">
        <f t="shared" si="17"/>
        <v>26353.76815444485</v>
      </c>
      <c r="S77" s="83">
        <f t="shared" si="17"/>
        <v>27872.477474698011</v>
      </c>
      <c r="T77" s="83">
        <f t="shared" si="17"/>
        <v>29420.219813493699</v>
      </c>
      <c r="U77" s="83">
        <f t="shared" si="17"/>
        <v>30997.561622462006</v>
      </c>
      <c r="V77" s="83">
        <f t="shared" si="17"/>
        <v>32605.080400071773</v>
      </c>
      <c r="W77" s="83">
        <f t="shared" si="17"/>
        <v>34243.364907223695</v>
      </c>
      <c r="X77" s="83">
        <f t="shared" si="17"/>
        <v>35913.015387053543</v>
      </c>
      <c r="Y77" s="83">
        <f t="shared" si="17"/>
        <v>37614.643789027919</v>
      </c>
      <c r="Z77" s="83">
        <f t="shared" si="17"/>
        <v>39348.873997415947</v>
      </c>
      <c r="AA77" s="83">
        <f t="shared" si="17"/>
        <v>41116.342064223019</v>
      </c>
      <c r="AB77" s="83">
        <f t="shared" si="17"/>
        <v>42917.696446673333</v>
      </c>
      <c r="AC77" s="83">
        <f t="shared" si="17"/>
        <v>44753.598249330076</v>
      </c>
    </row>
    <row r="78" spans="1:29" s="112" customFormat="1" ht="12">
      <c r="A78" s="109"/>
      <c r="B78" s="109"/>
      <c r="C78" s="110"/>
      <c r="D78" s="227"/>
      <c r="E78" s="235"/>
      <c r="F78" s="111"/>
      <c r="G78" s="111"/>
      <c r="H78" s="111"/>
      <c r="I78" s="111"/>
      <c r="J78" s="111"/>
      <c r="K78" s="111"/>
      <c r="L78" s="111"/>
      <c r="M78" s="111"/>
      <c r="N78" s="111"/>
      <c r="O78" s="111"/>
      <c r="P78" s="111"/>
      <c r="Q78" s="111"/>
      <c r="R78" s="111"/>
      <c r="S78" s="111"/>
      <c r="T78" s="111"/>
      <c r="U78" s="111"/>
      <c r="V78" s="111"/>
      <c r="W78" s="111"/>
      <c r="X78" s="111"/>
      <c r="Y78" s="111"/>
      <c r="Z78" s="111"/>
      <c r="AC78" s="282"/>
    </row>
    <row r="79" spans="1:29" s="53" customFormat="1" ht="12">
      <c r="A79" s="58" t="s">
        <v>360</v>
      </c>
      <c r="B79" s="58"/>
      <c r="D79" s="228"/>
      <c r="E79" s="236"/>
      <c r="F79" s="45"/>
      <c r="G79" s="57"/>
      <c r="AC79" s="283"/>
    </row>
    <row r="80" spans="1:29" s="53" customFormat="1" ht="12">
      <c r="A80" s="55"/>
      <c r="B80" s="55"/>
      <c r="D80" s="228"/>
      <c r="E80" s="236"/>
      <c r="F80" s="45"/>
      <c r="G80" s="57"/>
      <c r="AC80" s="283"/>
    </row>
    <row r="81" spans="1:29" s="53" customFormat="1" ht="12">
      <c r="A81" s="45"/>
      <c r="B81" s="45"/>
      <c r="C81" s="46" t="s">
        <v>88</v>
      </c>
      <c r="D81" s="228"/>
      <c r="E81" s="236"/>
      <c r="F81" s="45"/>
      <c r="G81" s="57"/>
      <c r="L81" s="61"/>
      <c r="AC81" s="283"/>
    </row>
    <row r="82" spans="1:29" s="53" customFormat="1" ht="12">
      <c r="A82" s="45"/>
      <c r="B82" s="45"/>
      <c r="C82" s="78" t="s">
        <v>42</v>
      </c>
      <c r="D82" s="228"/>
      <c r="E82" s="236"/>
      <c r="F82" s="45"/>
      <c r="G82" s="57"/>
      <c r="L82" s="61"/>
      <c r="AC82" s="283"/>
    </row>
    <row r="83" spans="1:29" s="53" customFormat="1" ht="12">
      <c r="A83" s="45"/>
      <c r="B83" s="45"/>
      <c r="C83" s="48" t="s">
        <v>97</v>
      </c>
      <c r="D83" s="228"/>
      <c r="E83" s="238"/>
      <c r="F83" s="71">
        <f>((('Emissions Assumptions'!D9/907185)+('Emissions Assumptions'!D11/907185))*F19)+(('Emissions Assumptions'!D10/907185)*F20)</f>
        <v>0</v>
      </c>
      <c r="G83" s="71">
        <f>((('Emissions Assumptions'!E9/907185)+('Emissions Assumptions'!E11/907185))*G19)+(('Emissions Assumptions'!E10/907185)*G20)</f>
        <v>0</v>
      </c>
      <c r="H83" s="71">
        <f>((('Emissions Assumptions'!F9/907185)+('Emissions Assumptions'!F11/907185))*H19)+(('Emissions Assumptions'!F10/907185)*H20)</f>
        <v>-1.7823093690923022E-2</v>
      </c>
      <c r="I83" s="71">
        <f>((('Emissions Assumptions'!G9/907185)+('Emissions Assumptions'!G11/907185))*I19)+(('Emissions Assumptions'!G10/907185)*I20)</f>
        <v>-1.8657025689357742E-2</v>
      </c>
      <c r="J83" s="71">
        <f>((('Emissions Assumptions'!H9/907185)+('Emissions Assumptions'!H11/907185))*J19)+(('Emissions Assumptions'!H10/907185)*J20)</f>
        <v>-1.9350722980979625E-2</v>
      </c>
      <c r="K83" s="71">
        <f>((('Emissions Assumptions'!I9/907185)+('Emissions Assumptions'!I11/907185))*K19)+(('Emissions Assumptions'!I10/907185)*K20)</f>
        <v>-1.9899622062710474E-2</v>
      </c>
      <c r="L83" s="71">
        <f>((('Emissions Assumptions'!J9/907185)+('Emissions Assumptions'!J11/907185))*L19)+(('Emissions Assumptions'!J10/907185)*L20)</f>
        <v>-2.0299032985231679E-2</v>
      </c>
      <c r="M83" s="71">
        <f>((('Emissions Assumptions'!K9/907185)+('Emissions Assumptions'!K11/907185))*M19)+(('Emissions Assumptions'!K10/907185)*M20)</f>
        <v>-2.054413612053585E-2</v>
      </c>
      <c r="N83" s="71">
        <f>((('Emissions Assumptions'!L9/907185)+('Emissions Assumptions'!L11/907185))*N19)+(('Emissions Assumptions'!L10/907185)*N20)</f>
        <v>-2.0629978850758988E-2</v>
      </c>
      <c r="O83" s="71">
        <f>((('Emissions Assumptions'!M9/907185)+('Emissions Assumptions'!M11/907185))*O19)+(('Emissions Assumptions'!M10/907185)*O20)</f>
        <v>-2.0551472176437373E-2</v>
      </c>
      <c r="P83" s="71">
        <f>((('Emissions Assumptions'!N9/907185)+('Emissions Assumptions'!N11/907185))*P19)+(('Emissions Assumptions'!N10/907185)*P20)</f>
        <v>-2.1713128062027187E-2</v>
      </c>
      <c r="Q83" s="71">
        <f>((('Emissions Assumptions'!O9/907185)+('Emissions Assumptions'!O11/907185))*Q19)+(('Emissions Assumptions'!O10/907185)*Q20)</f>
        <v>-2.2877602218276442E-2</v>
      </c>
      <c r="R83" s="71">
        <f>((('Emissions Assumptions'!P9/907185)+('Emissions Assumptions'!P11/907185))*R19)+(('Emissions Assumptions'!P10/907185)*R20)</f>
        <v>-2.4044708379976732E-2</v>
      </c>
      <c r="S83" s="71">
        <f>((('Emissions Assumptions'!Q9/907185)+('Emissions Assumptions'!Q11/907185))*S19)+(('Emissions Assumptions'!Q10/907185)*S20)</f>
        <v>-2.5214251704003026E-2</v>
      </c>
      <c r="T83" s="71">
        <f>((('Emissions Assumptions'!R9/907185)+('Emissions Assumptions'!R11/907185))*T19)+(('Emissions Assumptions'!R10/907185)*T20)</f>
        <v>-2.6386028500703165E-2</v>
      </c>
      <c r="U83" s="71">
        <f>((('Emissions Assumptions'!S9/907185)+('Emissions Assumptions'!S11/907185))*U19)+(('Emissions Assumptions'!S10/907185)*U20)</f>
        <v>-2.7559825957973891E-2</v>
      </c>
      <c r="V83" s="71">
        <f>((('Emissions Assumptions'!T9/907185)+('Emissions Assumptions'!T11/907185))*V19)+(('Emissions Assumptions'!T10/907185)*V20)</f>
        <v>-2.8735421857838794E-2</v>
      </c>
      <c r="W83" s="71">
        <f>((('Emissions Assumptions'!U9/907185)+('Emissions Assumptions'!U11/907185))*W19)+(('Emissions Assumptions'!U10/907185)*W20)</f>
        <v>-2.9912584285338186E-2</v>
      </c>
      <c r="X83" s="71">
        <f>((('Emissions Assumptions'!V9/907185)+('Emissions Assumptions'!V11/907185))*X19)+(('Emissions Assumptions'!V10/907185)*X20)</f>
        <v>-3.109107132953691E-2</v>
      </c>
      <c r="Y83" s="71">
        <f>((('Emissions Assumptions'!W9/907185)+('Emissions Assumptions'!W11/907185))*Y19)+(('Emissions Assumptions'!W10/907185)*Y20)</f>
        <v>-3.2270630776451426E-2</v>
      </c>
      <c r="Z83" s="71">
        <f>((('Emissions Assumptions'!X9/907185)+('Emissions Assumptions'!X11/907185))*Z19)+(('Emissions Assumptions'!X10/907185)*Z20)</f>
        <v>-3.3776247429745623E-2</v>
      </c>
      <c r="AA83" s="71">
        <f>((('Emissions Assumptions'!Y9/907185)+('Emissions Assumptions'!Y11/907185))*AA19)+(('Emissions Assumptions'!Y10/907185)*AA20)</f>
        <v>-3.53119764161057E-2</v>
      </c>
      <c r="AB83" s="71">
        <f>((('Emissions Assumptions'!Z9/907185)+('Emissions Assumptions'!Z11/907185))*AB19)+(('Emissions Assumptions'!Z10/907185)*AB20)</f>
        <v>-3.6878419982192996E-2</v>
      </c>
      <c r="AC83" s="71">
        <f>((('Emissions Assumptions'!AA9/907185)+('Emissions Assumptions'!AA11/907185))*AC19)+(('Emissions Assumptions'!AA10/907185)*AC20)</f>
        <v>-3.847619241960204E-2</v>
      </c>
    </row>
    <row r="84" spans="1:29" s="53" customFormat="1" ht="12">
      <c r="A84" s="45"/>
      <c r="B84" s="45"/>
      <c r="C84" s="48" t="s">
        <v>98</v>
      </c>
      <c r="D84" s="228"/>
      <c r="E84" s="238"/>
      <c r="F84" s="71">
        <f>(('Emissions Assumptions'!D4/907185)*F19)+(('Emissions Assumptions'!D5/907185)*F20)</f>
        <v>0</v>
      </c>
      <c r="G84" s="71">
        <f>(('Emissions Assumptions'!E4/907185)*G19)+(('Emissions Assumptions'!E5/907185)*G20)</f>
        <v>0</v>
      </c>
      <c r="H84" s="71">
        <f>(('Emissions Assumptions'!F4/907185)*H19)+(('Emissions Assumptions'!F5/907185)*H20)</f>
        <v>-3.0591312135892904E-2</v>
      </c>
      <c r="I84" s="71">
        <f>(('Emissions Assumptions'!G4/907185)*I19)+(('Emissions Assumptions'!G5/907185)*I20)</f>
        <v>-3.1282301956050862E-2</v>
      </c>
      <c r="J84" s="71">
        <f>(('Emissions Assumptions'!H4/907185)*J19)+(('Emissions Assumptions'!H5/907185)*J20)</f>
        <v>-3.1595291814789712E-2</v>
      </c>
      <c r="K84" s="71">
        <f>(('Emissions Assumptions'!I4/907185)*K19)+(('Emissions Assumptions'!I5/907185)*K20)</f>
        <v>-3.1518329887024153E-2</v>
      </c>
      <c r="L84" s="71">
        <f>(('Emissions Assumptions'!J4/907185)*L19)+(('Emissions Assumptions'!J5/907185)*L20)</f>
        <v>-3.1039137474650053E-2</v>
      </c>
      <c r="M84" s="71">
        <f>(('Emissions Assumptions'!K4/907185)*M19)+(('Emissions Assumptions'!K5/907185)*M20)</f>
        <v>-3.0145100712353712E-2</v>
      </c>
      <c r="N84" s="71">
        <f>(('Emissions Assumptions'!L4/907185)*N19)+(('Emissions Assumptions'!L5/907185)*N20)</f>
        <v>-2.8823262072402739E-2</v>
      </c>
      <c r="O84" s="71">
        <f>(('Emissions Assumptions'!M4/907185)*O19)+(('Emissions Assumptions'!M5/907185)*O20)</f>
        <v>-2.7060311663695352E-2</v>
      </c>
      <c r="P84" s="71">
        <f>(('Emissions Assumptions'!N4/907185)*P19)+(('Emissions Assumptions'!N5/907185)*P20)</f>
        <v>-2.8362843769462492E-2</v>
      </c>
      <c r="Q84" s="71">
        <f>(('Emissions Assumptions'!O4/907185)*Q19)+(('Emissions Assumptions'!O5/907185)*Q20)</f>
        <v>-2.9640458051412164E-2</v>
      </c>
      <c r="R84" s="71">
        <f>(('Emissions Assumptions'!P4/907185)*R19)+(('Emissions Assumptions'!P5/907185)*R20)</f>
        <v>-3.0892050392439984E-2</v>
      </c>
      <c r="S84" s="71">
        <f>(('Emissions Assumptions'!Q4/907185)*S19)+(('Emissions Assumptions'!Q5/907185)*S20)</f>
        <v>-3.2116482477886926E-2</v>
      </c>
      <c r="T84" s="71">
        <f>(('Emissions Assumptions'!R4/907185)*T19)+(('Emissions Assumptions'!R5/907185)*T20)</f>
        <v>-3.3312580869283993E-2</v>
      </c>
      <c r="U84" s="71">
        <f>(('Emissions Assumptions'!S4/907185)*U19)+(('Emissions Assumptions'!S5/907185)*U20)</f>
        <v>-3.4479136054725593E-2</v>
      </c>
      <c r="V84" s="71">
        <f>(('Emissions Assumptions'!T4/907185)*V19)+(('Emissions Assumptions'!T5/907185)*V20)</f>
        <v>-3.5614901475307582E-2</v>
      </c>
      <c r="W84" s="71">
        <f>(('Emissions Assumptions'!U4/907185)*W19)+(('Emissions Assumptions'!U5/907185)*W20)</f>
        <v>-3.6718592527052021E-2</v>
      </c>
      <c r="X84" s="71">
        <f>(('Emissions Assumptions'!V4/907185)*X19)+(('Emissions Assumptions'!V5/907185)*X20)</f>
        <v>-3.778888553772778E-2</v>
      </c>
      <c r="Y84" s="71">
        <f>(('Emissions Assumptions'!W4/907185)*Y19)+(('Emissions Assumptions'!W5/907185)*Y20)</f>
        <v>-3.8824416717962051E-2</v>
      </c>
      <c r="Z84" s="71">
        <f>(('Emissions Assumptions'!X4/907185)*Z19)+(('Emissions Assumptions'!X5/907185)*Z20)</f>
        <v>-4.0635806423045019E-2</v>
      </c>
      <c r="AA84" s="71">
        <f>(('Emissions Assumptions'!Y4/907185)*AA19)+(('Emissions Assumptions'!Y5/907185)*AA20)</f>
        <v>-4.2483423922229625E-2</v>
      </c>
      <c r="AB84" s="71">
        <f>(('Emissions Assumptions'!Z4/907185)*AB19)+(('Emissions Assumptions'!Z5/907185)*AB20)</f>
        <v>-4.4367993771397961E-2</v>
      </c>
      <c r="AC84" s="71">
        <f>(('Emissions Assumptions'!AA4/907185)*AC19)+(('Emissions Assumptions'!AA5/907185)*AC20)</f>
        <v>-4.6290255017549645E-2</v>
      </c>
    </row>
    <row r="85" spans="1:29" s="53" customFormat="1" ht="12">
      <c r="A85" s="45"/>
      <c r="B85" s="45"/>
      <c r="C85" s="48" t="s">
        <v>99</v>
      </c>
      <c r="D85" s="228"/>
      <c r="E85" s="238"/>
      <c r="F85" s="71">
        <f>(('Emissions Assumptions'!D14/907185)*F19)+(('Emissions Assumptions'!D18/907185)*F20)+(('Emissions Assumptions'!D19/907185)*F19)</f>
        <v>0</v>
      </c>
      <c r="G85" s="71">
        <f>(('Emissions Assumptions'!E14/907185)*G19)+(('Emissions Assumptions'!E18/907185)*G20)+(('Emissions Assumptions'!E19/907185)*G19)</f>
        <v>0</v>
      </c>
      <c r="H85" s="71">
        <f>(('Emissions Assumptions'!F14/907185)*H19)+(('Emissions Assumptions'!F18/907185)*H20)+(('Emissions Assumptions'!F19/907185)*H19)</f>
        <v>-4.7412051290530582E-2</v>
      </c>
      <c r="I85" s="71">
        <f>(('Emissions Assumptions'!G14/907185)*I19)+(('Emissions Assumptions'!G18/907185)*I20)+(('Emissions Assumptions'!G19/907185)*I19)</f>
        <v>-4.8405909930168599E-2</v>
      </c>
      <c r="J85" s="71">
        <f>(('Emissions Assumptions'!H14/907185)*J19)+(('Emissions Assumptions'!H18/907185)*J20)+(('Emissions Assumptions'!H19/907185)*J19)</f>
        <v>-4.879963023253249E-2</v>
      </c>
      <c r="K85" s="71">
        <f>(('Emissions Assumptions'!I14/907185)*K19)+(('Emissions Assumptions'!I18/907185)*K20)+(('Emissions Assumptions'!I19/907185)*K19)</f>
        <v>-4.8574259806478275E-2</v>
      </c>
      <c r="L85" s="71">
        <f>(('Emissions Assumptions'!J14/907185)*L19)+(('Emissions Assumptions'!J18/907185)*L20)+(('Emissions Assumptions'!J19/907185)*L19)</f>
        <v>-4.7710328220551053E-2</v>
      </c>
      <c r="M85" s="71">
        <f>(('Emissions Assumptions'!K14/907185)*M19)+(('Emissions Assumptions'!K18/907185)*M20)+(('Emissions Assumptions'!K19/907185)*M19)</f>
        <v>-4.6187833862329088E-2</v>
      </c>
      <c r="N85" s="71">
        <f>(('Emissions Assumptions'!L14/907185)*N19)+(('Emissions Assumptions'!L18/907185)*N20)+(('Emissions Assumptions'!L19/907185)*N19)</f>
        <v>-4.3986230479357791E-2</v>
      </c>
      <c r="O85" s="71">
        <f>(('Emissions Assumptions'!M14/907185)*O19)+(('Emissions Assumptions'!M18/907185)*O20)+(('Emissions Assumptions'!M19/907185)*O19)</f>
        <v>-4.1084413394193178E-2</v>
      </c>
      <c r="P85" s="71">
        <f>(('Emissions Assumptions'!N14/907185)*P19)+(('Emissions Assumptions'!N18/907185)*P20)+(('Emissions Assumptions'!N19/907185)*P19)</f>
        <v>-4.2580398010212211E-2</v>
      </c>
      <c r="Q85" s="71">
        <f>(('Emissions Assumptions'!O14/907185)*Q19)+(('Emissions Assumptions'!O18/907185)*Q20)+(('Emissions Assumptions'!O19/907185)*Q19)</f>
        <v>-4.3977822472270674E-2</v>
      </c>
      <c r="R85" s="71">
        <f>(('Emissions Assumptions'!P14/907185)*R19)+(('Emissions Assumptions'!P18/907185)*R20)+(('Emissions Assumptions'!P19/907185)*R19)</f>
        <v>-4.5273188593281777E-2</v>
      </c>
      <c r="S85" s="71">
        <f>(('Emissions Assumptions'!Q14/907185)*S19)+(('Emissions Assumptions'!Q18/907185)*S20)+(('Emissions Assumptions'!Q19/907185)*S19)</f>
        <v>-4.6462897682736752E-2</v>
      </c>
      <c r="T85" s="71">
        <f>(('Emissions Assumptions'!R14/907185)*T19)+(('Emissions Assumptions'!R18/907185)*T20)+(('Emissions Assumptions'!R19/907185)*T19)</f>
        <v>-4.7543247925843017E-2</v>
      </c>
      <c r="U85" s="71">
        <f>(('Emissions Assumptions'!S14/907185)*U19)+(('Emissions Assumptions'!S18/907185)*U20)+(('Emissions Assumptions'!S19/907185)*U19)</f>
        <v>-4.8510431698028718E-2</v>
      </c>
      <c r="V85" s="71">
        <f>(('Emissions Assumptions'!T14/907185)*V19)+(('Emissions Assumptions'!T18/907185)*V20)+(('Emissions Assumptions'!T19/907185)*V19)</f>
        <v>-4.9360532813277819E-2</v>
      </c>
      <c r="W85" s="71">
        <f>(('Emissions Assumptions'!U14/907185)*W19)+(('Emissions Assumptions'!U18/907185)*W20)+(('Emissions Assumptions'!U19/907185)*W19)</f>
        <v>-5.0089523704721979E-2</v>
      </c>
      <c r="X85" s="71">
        <f>(('Emissions Assumptions'!V14/907185)*X19)+(('Emissions Assumptions'!V18/907185)*X20)+(('Emissions Assumptions'!V19/907185)*X19)</f>
        <v>-5.0693262535880856E-2</v>
      </c>
      <c r="Y85" s="71">
        <f>(('Emissions Assumptions'!W14/907185)*Y19)+(('Emissions Assumptions'!W18/907185)*Y20)+(('Emissions Assumptions'!W19/907185)*Y19)</f>
        <v>-5.1167490240904466E-2</v>
      </c>
      <c r="Z85" s="71">
        <f>(('Emissions Assumptions'!X14/907185)*Z19)+(('Emissions Assumptions'!X18/907185)*Z20)+(('Emissions Assumptions'!X19/907185)*Z19)</f>
        <v>-5.3554757658998788E-2</v>
      </c>
      <c r="AA85" s="71">
        <f>(('Emissions Assumptions'!Y14/907185)*AA19)+(('Emissions Assumptions'!Y18/907185)*AA20)+(('Emissions Assumptions'!Y19/907185)*AA19)</f>
        <v>-5.5989770425454971E-2</v>
      </c>
      <c r="AB85" s="71">
        <f>(('Emissions Assumptions'!Z14/907185)*AB19)+(('Emissions Assumptions'!Z18/907185)*AB20)+(('Emissions Assumptions'!Z19/907185)*AB19)</f>
        <v>-5.8473483447240335E-2</v>
      </c>
      <c r="AC85" s="71">
        <f>(('Emissions Assumptions'!AA14/907185)*AC19)+(('Emissions Assumptions'!AA18/907185)*AC20)+(('Emissions Assumptions'!AA19/907185)*AC19)</f>
        <v>-6.1006870729461378E-2</v>
      </c>
    </row>
    <row r="86" spans="1:29" s="53" customFormat="1" ht="12">
      <c r="A86" s="45"/>
      <c r="B86" s="45"/>
      <c r="C86" s="48" t="s">
        <v>100</v>
      </c>
      <c r="D86" s="228"/>
      <c r="E86" s="238"/>
      <c r="F86" s="71">
        <f>('Emissions Assumptions'!D21/907185)*F20</f>
        <v>0</v>
      </c>
      <c r="G86" s="71">
        <f>('Emissions Assumptions'!E21/907185)*G20</f>
        <v>0</v>
      </c>
      <c r="H86" s="71">
        <f>('Emissions Assumptions'!F21/907185)*H20</f>
        <v>-39.476038616834607</v>
      </c>
      <c r="I86" s="71">
        <f>('Emissions Assumptions'!G21/907185)*I20</f>
        <v>-42.386305919072463</v>
      </c>
      <c r="J86" s="71">
        <f>('Emissions Assumptions'!H21/907185)*J20</f>
        <v>-45.183146518428622</v>
      </c>
      <c r="K86" s="71">
        <f>('Emissions Assumptions'!I21/907185)*K20</f>
        <v>-47.862368093044317</v>
      </c>
      <c r="L86" s="71">
        <f>('Emissions Assumptions'!J21/907185)*L20</f>
        <v>-50.419655998867526</v>
      </c>
      <c r="M86" s="71">
        <f>('Emissions Assumptions'!K21/907185)*M20</f>
        <v>-52.850570053694106</v>
      </c>
      <c r="N86" s="71">
        <f>('Emissions Assumptions'!L21/907185)*N20</f>
        <v>-55.150541241499248</v>
      </c>
      <c r="O86" s="71">
        <f>('Emissions Assumptions'!M21/907185)*O20</f>
        <v>-57.314868335157456</v>
      </c>
      <c r="P86" s="71">
        <f>('Emissions Assumptions'!N21/907185)*P20</f>
        <v>-60.31232391145808</v>
      </c>
      <c r="Q86" s="71">
        <f>('Emissions Assumptions'!O21/907185)*Q20</f>
        <v>-63.287094865532154</v>
      </c>
      <c r="R86" s="71">
        <f>('Emissions Assumptions'!P21/907185)*R20</f>
        <v>-66.237745402344117</v>
      </c>
      <c r="S86" s="71">
        <f>('Emissions Assumptions'!Q21/907185)*S20</f>
        <v>-69.162791368905843</v>
      </c>
      <c r="T86" s="71">
        <f>('Emissions Assumptions'!R21/907185)*T20</f>
        <v>-72.060698894276655</v>
      </c>
      <c r="U86" s="71">
        <f>('Emissions Assumptions'!S21/907185)*U20</f>
        <v>-74.929882994506201</v>
      </c>
      <c r="V86" s="71">
        <f>('Emissions Assumptions'!T21/907185)*V20</f>
        <v>-77.76870614166269</v>
      </c>
      <c r="W86" s="71">
        <f>('Emissions Assumptions'!U21/907185)*W20</f>
        <v>-80.57547679606715</v>
      </c>
      <c r="X86" s="71">
        <f>('Emissions Assumptions'!V21/907185)*X20</f>
        <v>-83.348447900834529</v>
      </c>
      <c r="Y86" s="71">
        <f>('Emissions Assumptions'!W21/907185)*Y20</f>
        <v>-86.085815337801691</v>
      </c>
      <c r="Z86" s="71">
        <f>('Emissions Assumptions'!X21/907185)*Z20</f>
        <v>-90.102230079827279</v>
      </c>
      <c r="AA86" s="71">
        <f>('Emissions Assumptions'!Y21/907185)*AA20</f>
        <v>-94.198973116693324</v>
      </c>
      <c r="AB86" s="71">
        <f>('Emissions Assumptions'!Z21/907185)*AB20</f>
        <v>-98.377651014296774</v>
      </c>
      <c r="AC86" s="71">
        <f>('Emissions Assumptions'!AA21/907185)*AC20</f>
        <v>-102.63990246985226</v>
      </c>
    </row>
    <row r="87" spans="1:29" s="53" customFormat="1" ht="12">
      <c r="A87" s="45"/>
      <c r="B87" s="45"/>
      <c r="C87" s="70" t="s">
        <v>115</v>
      </c>
      <c r="D87" s="228"/>
      <c r="E87" s="236"/>
      <c r="F87" s="45"/>
      <c r="G87" s="45"/>
      <c r="H87" s="45"/>
      <c r="I87" s="45"/>
      <c r="J87" s="45"/>
      <c r="K87" s="45"/>
      <c r="L87" s="45"/>
      <c r="M87" s="45"/>
      <c r="N87" s="45"/>
      <c r="O87" s="45"/>
      <c r="P87" s="45"/>
      <c r="Q87" s="45"/>
      <c r="R87" s="45"/>
      <c r="S87" s="45"/>
      <c r="T87" s="45"/>
      <c r="U87" s="45"/>
      <c r="V87" s="45"/>
      <c r="W87" s="45"/>
      <c r="X87" s="45"/>
      <c r="Y87" s="45"/>
      <c r="Z87" s="45"/>
      <c r="AA87" s="45"/>
      <c r="AB87" s="45"/>
      <c r="AC87" s="45"/>
    </row>
    <row r="88" spans="1:29" s="53" customFormat="1" ht="12">
      <c r="A88" s="45"/>
      <c r="B88" s="45"/>
      <c r="C88" s="48" t="s">
        <v>43</v>
      </c>
      <c r="D88" s="228"/>
      <c r="E88" s="239"/>
      <c r="F88" s="56">
        <f>-(F83*'Emissions Assumptions'!D12)</f>
        <v>0</v>
      </c>
      <c r="G88" s="56">
        <f>-(G83*'Emissions Assumptions'!E12)</f>
        <v>0</v>
      </c>
      <c r="H88" s="56">
        <f>-(H83*'Emissions Assumptions'!F12)</f>
        <v>30.299259274569138</v>
      </c>
      <c r="I88" s="56">
        <f>-(I83*'Emissions Assumptions'!G12)</f>
        <v>31.716943671908162</v>
      </c>
      <c r="J88" s="56">
        <f>-(J83*'Emissions Assumptions'!H12)</f>
        <v>32.896229067665359</v>
      </c>
      <c r="K88" s="56">
        <f>-(K83*'Emissions Assumptions'!I12)</f>
        <v>33.829357506607806</v>
      </c>
      <c r="L88" s="56">
        <f>-(L83*'Emissions Assumptions'!J12)</f>
        <v>34.508356074893854</v>
      </c>
      <c r="M88" s="56">
        <f>-(M83*'Emissions Assumptions'!K12)</f>
        <v>34.925031404910946</v>
      </c>
      <c r="N88" s="56">
        <f>-(N83*'Emissions Assumptions'!L12)</f>
        <v>35.070964046290278</v>
      </c>
      <c r="O88" s="56">
        <f>-(O83*'Emissions Assumptions'!M12)</f>
        <v>34.937502699943536</v>
      </c>
      <c r="P88" s="56">
        <f>-(P83*'Emissions Assumptions'!N12)</f>
        <v>36.91231770544622</v>
      </c>
      <c r="Q88" s="56">
        <f>-(Q83*'Emissions Assumptions'!O12)</f>
        <v>38.891923771069955</v>
      </c>
      <c r="R88" s="56">
        <f>-(R83*'Emissions Assumptions'!P12)</f>
        <v>40.876004245960445</v>
      </c>
      <c r="S88" s="56">
        <f>-(S83*'Emissions Assumptions'!Q12)</f>
        <v>42.864227896805147</v>
      </c>
      <c r="T88" s="56">
        <f>-(T83*'Emissions Assumptions'!R12)</f>
        <v>44.856248451195384</v>
      </c>
      <c r="U88" s="56">
        <f>-(U83*'Emissions Assumptions'!S12)</f>
        <v>46.851704128555618</v>
      </c>
      <c r="V88" s="56">
        <f>-(V83*'Emissions Assumptions'!T12)</f>
        <v>48.850217158325947</v>
      </c>
      <c r="W88" s="56">
        <f>-(W83*'Emissions Assumptions'!U12)</f>
        <v>50.851393285074913</v>
      </c>
      <c r="X88" s="56">
        <f>-(X83*'Emissions Assumptions'!V12)</f>
        <v>52.854821260212745</v>
      </c>
      <c r="Y88" s="56">
        <f>-(Y83*'Emissions Assumptions'!W12)</f>
        <v>54.860072319967422</v>
      </c>
      <c r="Z88" s="56">
        <f>-(Z83*'Emissions Assumptions'!X12)</f>
        <v>57.419620630567557</v>
      </c>
      <c r="AA88" s="56">
        <f>-(AA83*'Emissions Assumptions'!Y12)</f>
        <v>60.03035990737969</v>
      </c>
      <c r="AB88" s="56">
        <f>-(AB83*'Emissions Assumptions'!Z12)</f>
        <v>62.693313969728095</v>
      </c>
      <c r="AC88" s="56">
        <f>-(AC83*'Emissions Assumptions'!AA12)</f>
        <v>65.409527113323463</v>
      </c>
    </row>
    <row r="89" spans="1:29" ht="13.5">
      <c r="A89" s="45"/>
      <c r="B89" s="45"/>
      <c r="C89" s="48" t="s">
        <v>119</v>
      </c>
      <c r="D89" s="228"/>
      <c r="E89" s="239"/>
      <c r="F89" s="56">
        <f>-(F84*'Emissions Assumptions'!D6)</f>
        <v>0</v>
      </c>
      <c r="G89" s="56">
        <f>-(G84*'Emissions Assumptions'!E6)</f>
        <v>0</v>
      </c>
      <c r="H89" s="56">
        <f>-(H84*'Emissions Assumptions'!F6)</f>
        <v>122.36524854357161</v>
      </c>
      <c r="I89" s="56">
        <f>-(I84*'Emissions Assumptions'!G6)</f>
        <v>125.12920782420345</v>
      </c>
      <c r="J89" s="56">
        <f>-(J84*'Emissions Assumptions'!H6)</f>
        <v>126.38116725915884</v>
      </c>
      <c r="K89" s="56">
        <f>-(K84*'Emissions Assumptions'!I6)</f>
        <v>126.07331954809661</v>
      </c>
      <c r="L89" s="56">
        <f>-(L84*'Emissions Assumptions'!J6)</f>
        <v>124.15654989860022</v>
      </c>
      <c r="M89" s="56">
        <f>-(M84*'Emissions Assumptions'!K6)</f>
        <v>120.58040284941485</v>
      </c>
      <c r="N89" s="56">
        <f>-(N84*'Emissions Assumptions'!L6)</f>
        <v>115.29304828961095</v>
      </c>
      <c r="O89" s="56">
        <f>-(O84*'Emissions Assumptions'!M6)</f>
        <v>108.24124665478141</v>
      </c>
      <c r="P89" s="56">
        <f>-(P84*'Emissions Assumptions'!N6)</f>
        <v>113.45137507784997</v>
      </c>
      <c r="Q89" s="56">
        <f>-(Q84*'Emissions Assumptions'!O6)</f>
        <v>118.56183220564866</v>
      </c>
      <c r="R89" s="56">
        <f>-(R84*'Emissions Assumptions'!P6)</f>
        <v>123.56820156975994</v>
      </c>
      <c r="S89" s="56">
        <f>-(S84*'Emissions Assumptions'!Q6)</f>
        <v>128.4659299115477</v>
      </c>
      <c r="T89" s="56">
        <f>-(T84*'Emissions Assumptions'!R6)</f>
        <v>133.25032347713596</v>
      </c>
      <c r="U89" s="56">
        <f>-(U84*'Emissions Assumptions'!S6)</f>
        <v>137.91654421890237</v>
      </c>
      <c r="V89" s="56">
        <f>-(V84*'Emissions Assumptions'!T6)</f>
        <v>142.45960590123033</v>
      </c>
      <c r="W89" s="56">
        <f>-(W84*'Emissions Assumptions'!U6)</f>
        <v>146.8743701082081</v>
      </c>
      <c r="X89" s="56">
        <f>-(X84*'Emissions Assumptions'!V6)</f>
        <v>151.15554215091112</v>
      </c>
      <c r="Y89" s="56">
        <f>-(Y84*'Emissions Assumptions'!W6)</f>
        <v>155.29766687184821</v>
      </c>
      <c r="Z89" s="56">
        <f>-(Z84*'Emissions Assumptions'!X6)</f>
        <v>162.54322569218007</v>
      </c>
      <c r="AA89" s="56">
        <f>-(AA84*'Emissions Assumptions'!Y6)</f>
        <v>169.9336956889185</v>
      </c>
      <c r="AB89" s="56">
        <f>-(AB84*'Emissions Assumptions'!Z6)</f>
        <v>177.47197508559185</v>
      </c>
      <c r="AC89" s="56">
        <f>-(AC84*'Emissions Assumptions'!AA6)</f>
        <v>185.16102007019859</v>
      </c>
    </row>
    <row r="90" spans="1:29" ht="13.5">
      <c r="A90" s="45"/>
      <c r="B90" s="45"/>
      <c r="C90" s="48" t="s">
        <v>117</v>
      </c>
      <c r="D90" s="228"/>
      <c r="E90" s="239"/>
      <c r="F90" s="56">
        <f>-(F85*'Emissions Assumptions'!D15)</f>
        <v>0</v>
      </c>
      <c r="G90" s="56">
        <f>-(G85*'Emissions Assumptions'!E15)</f>
        <v>0</v>
      </c>
      <c r="H90" s="56">
        <f>-(H85*'Emissions Assumptions'!F15)</f>
        <v>7965.2246168091378</v>
      </c>
      <c r="I90" s="56">
        <f>-(I85*'Emissions Assumptions'!G15)</f>
        <v>8132.1928682683247</v>
      </c>
      <c r="J90" s="56">
        <f>-(J85*'Emissions Assumptions'!H15)</f>
        <v>8198.3378790654588</v>
      </c>
      <c r="K90" s="56">
        <f>-(K85*'Emissions Assumptions'!I15)</f>
        <v>8160.4756474883498</v>
      </c>
      <c r="L90" s="56">
        <f>-(L85*'Emissions Assumptions'!J15)</f>
        <v>8015.3351410525765</v>
      </c>
      <c r="M90" s="56">
        <f>-(M85*'Emissions Assumptions'!K15)</f>
        <v>7759.5560888712871</v>
      </c>
      <c r="N90" s="56">
        <f>-(N85*'Emissions Assumptions'!L15)</f>
        <v>7389.6867205321087</v>
      </c>
      <c r="O90" s="56">
        <f>-(O85*'Emissions Assumptions'!M15)</f>
        <v>6902.1814502244542</v>
      </c>
      <c r="P90" s="56">
        <f>-(P85*'Emissions Assumptions'!N15)</f>
        <v>7153.5068657156517</v>
      </c>
      <c r="Q90" s="56">
        <f>-(Q85*'Emissions Assumptions'!O15)</f>
        <v>7388.274175341473</v>
      </c>
      <c r="R90" s="56">
        <f>-(R85*'Emissions Assumptions'!P15)</f>
        <v>7605.8956836713387</v>
      </c>
      <c r="S90" s="56">
        <f>-(S85*'Emissions Assumptions'!Q15)</f>
        <v>7805.7668106997744</v>
      </c>
      <c r="T90" s="56">
        <f>-(T85*'Emissions Assumptions'!R15)</f>
        <v>7987.2656515416265</v>
      </c>
      <c r="U90" s="56">
        <f>-(U85*'Emissions Assumptions'!S15)</f>
        <v>8149.7525252688247</v>
      </c>
      <c r="V90" s="56">
        <f>-(V85*'Emissions Assumptions'!T15)</f>
        <v>8292.5695126306728</v>
      </c>
      <c r="W90" s="56">
        <f>-(W85*'Emissions Assumptions'!U15)</f>
        <v>8415.039982393293</v>
      </c>
      <c r="X90" s="56">
        <f>-(X85*'Emissions Assumptions'!V15)</f>
        <v>8516.4681060279836</v>
      </c>
      <c r="Y90" s="56">
        <f>-(Y85*'Emissions Assumptions'!W15)</f>
        <v>8596.1383604719504</v>
      </c>
      <c r="Z90" s="56">
        <f>-(Z85*'Emissions Assumptions'!X15)</f>
        <v>8997.199286711797</v>
      </c>
      <c r="AA90" s="56">
        <f>-(AA85*'Emissions Assumptions'!Y15)</f>
        <v>9406.2814314764346</v>
      </c>
      <c r="AB90" s="56">
        <f>-(AB85*'Emissions Assumptions'!Z15)</f>
        <v>9823.5452191363765</v>
      </c>
      <c r="AC90" s="56">
        <f>-(AC85*'Emissions Assumptions'!AA15)</f>
        <v>10249.154282549511</v>
      </c>
    </row>
    <row r="91" spans="1:29" s="53" customFormat="1" ht="13.5">
      <c r="A91" s="45"/>
      <c r="B91" s="45"/>
      <c r="C91" s="48" t="s">
        <v>118</v>
      </c>
      <c r="D91" s="228"/>
      <c r="E91" s="239"/>
      <c r="F91" s="56">
        <f>-(F86*'Emissions Assumptions'!D22)</f>
        <v>0</v>
      </c>
      <c r="G91" s="56">
        <f>-(G86*'Emissions Assumptions'!E22)</f>
        <v>0</v>
      </c>
      <c r="H91" s="56">
        <f>-(H86*'Emissions Assumptions'!F22)</f>
        <v>844.78722640026058</v>
      </c>
      <c r="I91" s="56">
        <f>-(I86*'Emissions Assumptions'!G22)</f>
        <v>907.06694666815065</v>
      </c>
      <c r="J91" s="56">
        <f>-(J86*'Emissions Assumptions'!H22)</f>
        <v>966.91933549437249</v>
      </c>
      <c r="K91" s="56">
        <f>-(K86*'Emissions Assumptions'!I22)</f>
        <v>1024.2546771911484</v>
      </c>
      <c r="L91" s="56">
        <f>-(L86*'Emissions Assumptions'!J22)</f>
        <v>1078.980638375765</v>
      </c>
      <c r="M91" s="56">
        <f>-(M86*'Emissions Assumptions'!K22)</f>
        <v>1131.0021991490537</v>
      </c>
      <c r="N91" s="56">
        <f>-(N86*'Emissions Assumptions'!L22)</f>
        <v>1180.2215825680839</v>
      </c>
      <c r="O91" s="56">
        <f>-(O86*'Emissions Assumptions'!M22)</f>
        <v>1226.5381823723694</v>
      </c>
      <c r="P91" s="56">
        <f>-(P86*'Emissions Assumptions'!N22)</f>
        <v>1290.6837317052027</v>
      </c>
      <c r="Q91" s="56">
        <f>-(Q86*'Emissions Assumptions'!O22)</f>
        <v>1354.343830122388</v>
      </c>
      <c r="R91" s="56">
        <f>-(R86*'Emissions Assumptions'!P22)</f>
        <v>1417.487751610164</v>
      </c>
      <c r="S91" s="56">
        <f>-(S86*'Emissions Assumptions'!Q22)</f>
        <v>1480.083735294585</v>
      </c>
      <c r="T91" s="56">
        <f>-(T86*'Emissions Assumptions'!R22)</f>
        <v>1542.0989563375203</v>
      </c>
      <c r="U91" s="56">
        <f>-(U86*'Emissions Assumptions'!S22)</f>
        <v>1603.4994960824326</v>
      </c>
      <c r="V91" s="56">
        <f>-(V86*'Emissions Assumptions'!T22)</f>
        <v>1664.2503114315814</v>
      </c>
      <c r="W91" s="56">
        <f>-(W86*'Emissions Assumptions'!U22)</f>
        <v>1724.3152034358368</v>
      </c>
      <c r="X91" s="56">
        <f>-(X86*'Emissions Assumptions'!V22)</f>
        <v>1783.6567850778588</v>
      </c>
      <c r="Y91" s="56">
        <f>-(Y86*'Emissions Assumptions'!W22)</f>
        <v>1842.2364482289561</v>
      </c>
      <c r="Z91" s="56">
        <f>-(Z86*'Emissions Assumptions'!X22)</f>
        <v>1928.1877237083036</v>
      </c>
      <c r="AA91" s="56">
        <f>-(AA86*'Emissions Assumptions'!Y22)</f>
        <v>2015.8580246972369</v>
      </c>
      <c r="AB91" s="56">
        <f>-(AB86*'Emissions Assumptions'!Z22)</f>
        <v>2105.2817317059507</v>
      </c>
      <c r="AC91" s="56">
        <f>-(AC86*'Emissions Assumptions'!AA22)</f>
        <v>2196.4939128548381</v>
      </c>
    </row>
    <row r="92" spans="1:29" s="5" customFormat="1" ht="12">
      <c r="A92" s="58"/>
      <c r="B92" s="58"/>
      <c r="C92" s="62" t="s">
        <v>613</v>
      </c>
      <c r="D92" s="231"/>
      <c r="E92" s="239"/>
      <c r="F92" s="83">
        <f>SUM(F88:F91)</f>
        <v>0</v>
      </c>
      <c r="G92" s="83">
        <f t="shared" ref="G92:AC92" si="18">SUM(G88:G91)</f>
        <v>0</v>
      </c>
      <c r="H92" s="83">
        <f t="shared" si="18"/>
        <v>8962.6763510275396</v>
      </c>
      <c r="I92" s="83">
        <f t="shared" si="18"/>
        <v>9196.1059664325858</v>
      </c>
      <c r="J92" s="83">
        <f t="shared" si="18"/>
        <v>9324.5346108866561</v>
      </c>
      <c r="K92" s="83">
        <f t="shared" si="18"/>
        <v>9344.6330017342043</v>
      </c>
      <c r="L92" s="83">
        <f t="shared" si="18"/>
        <v>9252.9806854018352</v>
      </c>
      <c r="M92" s="83">
        <f t="shared" si="18"/>
        <v>9046.0637222746664</v>
      </c>
      <c r="N92" s="83">
        <f t="shared" si="18"/>
        <v>8720.2723154360938</v>
      </c>
      <c r="O92" s="83">
        <f t="shared" si="18"/>
        <v>8271.8983819515488</v>
      </c>
      <c r="P92" s="83">
        <f t="shared" si="18"/>
        <v>8594.5542902041507</v>
      </c>
      <c r="Q92" s="83">
        <f t="shared" si="18"/>
        <v>8900.0717614405803</v>
      </c>
      <c r="R92" s="83">
        <f t="shared" si="18"/>
        <v>9187.827641097223</v>
      </c>
      <c r="S92" s="83">
        <f t="shared" si="18"/>
        <v>9457.1807038027127</v>
      </c>
      <c r="T92" s="83">
        <f t="shared" si="18"/>
        <v>9707.4711798074786</v>
      </c>
      <c r="U92" s="83">
        <f t="shared" si="18"/>
        <v>9938.0202696987162</v>
      </c>
      <c r="V92" s="83">
        <f t="shared" si="18"/>
        <v>10148.129647121812</v>
      </c>
      <c r="W92" s="83">
        <f t="shared" si="18"/>
        <v>10337.080949222413</v>
      </c>
      <c r="X92" s="83">
        <f t="shared" si="18"/>
        <v>10504.135254516967</v>
      </c>
      <c r="Y92" s="83">
        <f t="shared" si="18"/>
        <v>10648.532547892723</v>
      </c>
      <c r="Z92" s="83">
        <f t="shared" si="18"/>
        <v>11145.349856742847</v>
      </c>
      <c r="AA92" s="83">
        <f t="shared" si="18"/>
        <v>11652.103511769968</v>
      </c>
      <c r="AB92" s="83">
        <f t="shared" si="18"/>
        <v>12168.992239897647</v>
      </c>
      <c r="AC92" s="83">
        <f t="shared" si="18"/>
        <v>12696.218742587871</v>
      </c>
    </row>
    <row r="93" spans="1:29" s="53" customFormat="1" ht="12">
      <c r="A93" s="45"/>
      <c r="B93" s="45"/>
      <c r="D93" s="228"/>
      <c r="E93" s="236"/>
      <c r="F93" s="45"/>
      <c r="G93" s="57"/>
      <c r="AC93" s="283"/>
    </row>
    <row r="94" spans="1:29" s="53" customFormat="1" ht="12">
      <c r="A94" s="45"/>
      <c r="B94" s="45"/>
      <c r="C94" s="64" t="s">
        <v>91</v>
      </c>
      <c r="D94" s="228"/>
      <c r="E94" s="236"/>
      <c r="F94" s="45"/>
      <c r="G94" s="57"/>
      <c r="AC94" s="283"/>
    </row>
    <row r="95" spans="1:29" s="53" customFormat="1" ht="24">
      <c r="A95" s="45"/>
      <c r="B95" s="45"/>
      <c r="C95" s="222" t="s">
        <v>132</v>
      </c>
      <c r="D95" s="279">
        <f>'Price Assumptions'!$B$22</f>
        <v>0.2</v>
      </c>
      <c r="E95" s="236"/>
      <c r="G95" s="97"/>
      <c r="H95" s="97"/>
      <c r="I95" s="97"/>
      <c r="J95" s="97"/>
      <c r="K95" s="97"/>
      <c r="L95" s="97"/>
      <c r="M95" s="97"/>
      <c r="N95" s="97"/>
      <c r="O95" s="97"/>
      <c r="P95" s="97"/>
      <c r="Q95" s="97"/>
      <c r="R95" s="97"/>
      <c r="S95" s="97"/>
      <c r="T95" s="97"/>
      <c r="U95" s="97"/>
      <c r="V95" s="97"/>
      <c r="W95" s="97"/>
      <c r="X95" s="97"/>
      <c r="Y95" s="97"/>
      <c r="AC95" s="283"/>
    </row>
    <row r="96" spans="1:29" s="53" customFormat="1" ht="24">
      <c r="A96" s="45"/>
      <c r="B96" s="45"/>
      <c r="C96" s="303" t="s">
        <v>520</v>
      </c>
      <c r="D96" s="304">
        <f>'Price Assumptions'!$B$21</f>
        <v>5.4413625171743009E-2</v>
      </c>
      <c r="E96" s="236"/>
      <c r="G96" s="96"/>
      <c r="H96" s="96"/>
      <c r="I96" s="96"/>
      <c r="J96" s="96"/>
      <c r="K96" s="96"/>
      <c r="L96" s="96"/>
      <c r="M96" s="96"/>
      <c r="N96" s="96"/>
      <c r="O96" s="96"/>
      <c r="P96" s="96"/>
      <c r="Q96" s="96"/>
      <c r="R96" s="96"/>
      <c r="S96" s="96"/>
      <c r="T96" s="96"/>
      <c r="U96" s="96"/>
      <c r="V96" s="96"/>
      <c r="W96" s="96"/>
      <c r="X96" s="96"/>
      <c r="Y96" s="96"/>
      <c r="AC96" s="283"/>
    </row>
    <row r="97" spans="1:30" s="5" customFormat="1" ht="13.5" customHeight="1">
      <c r="A97" s="58"/>
      <c r="B97" s="58"/>
      <c r="C97" s="87" t="s">
        <v>521</v>
      </c>
      <c r="D97" s="231"/>
      <c r="E97" s="239"/>
      <c r="F97" s="83">
        <f>$D$96*$D$95*(F12+F13)</f>
        <v>0</v>
      </c>
      <c r="G97" s="83">
        <f t="shared" ref="G97:AC97" si="19">$D$96*$D$95*(G12+G13)</f>
        <v>0</v>
      </c>
      <c r="H97" s="83">
        <f t="shared" si="19"/>
        <v>38.089537620220113</v>
      </c>
      <c r="I97" s="83">
        <f t="shared" si="19"/>
        <v>41.898491382242121</v>
      </c>
      <c r="J97" s="83">
        <f t="shared" si="19"/>
        <v>45.783624219504574</v>
      </c>
      <c r="K97" s="83">
        <f t="shared" si="19"/>
        <v>49.746459713512266</v>
      </c>
      <c r="L97" s="83">
        <f t="shared" si="19"/>
        <v>53.788551917400127</v>
      </c>
      <c r="M97" s="83">
        <f t="shared" si="19"/>
        <v>57.911485965365742</v>
      </c>
      <c r="N97" s="83">
        <f t="shared" si="19"/>
        <v>62.116878694290712</v>
      </c>
      <c r="O97" s="83">
        <f t="shared" si="19"/>
        <v>66.406379277794102</v>
      </c>
      <c r="P97" s="83">
        <f t="shared" si="19"/>
        <v>70.781669872967626</v>
      </c>
      <c r="Q97" s="83">
        <f t="shared" si="19"/>
        <v>75.244466280044591</v>
      </c>
      <c r="R97" s="83">
        <f t="shared" si="19"/>
        <v>79.796518615263082</v>
      </c>
      <c r="S97" s="83">
        <f t="shared" si="19"/>
        <v>84.439611997185921</v>
      </c>
      <c r="T97" s="83">
        <f t="shared" si="19"/>
        <v>89.175567246747278</v>
      </c>
      <c r="U97" s="83">
        <f t="shared" si="19"/>
        <v>94.006241601299834</v>
      </c>
      <c r="V97" s="83">
        <f t="shared" si="19"/>
        <v>98.933529442943438</v>
      </c>
      <c r="W97" s="83">
        <f t="shared" si="19"/>
        <v>103.95936304141995</v>
      </c>
      <c r="X97" s="83">
        <f t="shared" si="19"/>
        <v>109.08571331186593</v>
      </c>
      <c r="Y97" s="83">
        <f t="shared" si="19"/>
        <v>114.31459058772089</v>
      </c>
      <c r="Z97" s="83">
        <f t="shared" si="19"/>
        <v>119.64804540909292</v>
      </c>
      <c r="AA97" s="83">
        <f t="shared" si="19"/>
        <v>125.08816932689234</v>
      </c>
      <c r="AB97" s="83">
        <f t="shared" si="19"/>
        <v>130.63709572304785</v>
      </c>
      <c r="AC97" s="83">
        <f t="shared" si="19"/>
        <v>136.29700064712642</v>
      </c>
    </row>
    <row r="98" spans="1:30" s="112" customFormat="1" ht="12">
      <c r="A98" s="109"/>
      <c r="B98" s="109"/>
      <c r="C98" s="110"/>
      <c r="D98" s="227"/>
      <c r="E98" s="235"/>
      <c r="F98" s="111"/>
      <c r="G98" s="111"/>
      <c r="H98" s="111"/>
      <c r="I98" s="111"/>
      <c r="J98" s="111"/>
      <c r="K98" s="111"/>
      <c r="L98" s="111"/>
      <c r="M98" s="111"/>
      <c r="N98" s="111"/>
      <c r="O98" s="111"/>
      <c r="P98" s="111"/>
      <c r="Q98" s="111"/>
      <c r="R98" s="111"/>
      <c r="S98" s="111"/>
      <c r="T98" s="111"/>
      <c r="U98" s="111"/>
      <c r="V98" s="111"/>
      <c r="W98" s="111"/>
      <c r="X98" s="111"/>
      <c r="Y98" s="111"/>
      <c r="Z98" s="111"/>
      <c r="AC98" s="282"/>
    </row>
    <row r="99" spans="1:30" s="112" customFormat="1" ht="12">
      <c r="A99" s="58" t="s">
        <v>361</v>
      </c>
      <c r="B99" s="58"/>
      <c r="C99" s="110"/>
      <c r="D99" s="227"/>
      <c r="E99" s="235"/>
      <c r="F99" s="111"/>
      <c r="G99" s="111"/>
      <c r="H99" s="111"/>
      <c r="I99" s="111"/>
      <c r="J99" s="111"/>
      <c r="K99" s="111"/>
      <c r="L99" s="111"/>
      <c r="M99" s="111"/>
      <c r="N99" s="111"/>
      <c r="O99" s="111"/>
      <c r="P99" s="111"/>
      <c r="Q99" s="111"/>
      <c r="R99" s="111"/>
      <c r="S99" s="111"/>
      <c r="T99" s="111"/>
      <c r="U99" s="111"/>
      <c r="V99" s="111"/>
      <c r="W99" s="111"/>
      <c r="X99" s="111"/>
      <c r="Y99" s="111"/>
      <c r="Z99" s="111"/>
      <c r="AC99" s="282"/>
    </row>
    <row r="100" spans="1:30" s="112" customFormat="1" ht="12">
      <c r="A100" s="58"/>
      <c r="B100" s="58"/>
      <c r="C100" s="46" t="s">
        <v>39</v>
      </c>
      <c r="D100" s="229"/>
      <c r="E100" s="236"/>
      <c r="F100" s="45"/>
      <c r="G100" s="111"/>
      <c r="H100" s="111"/>
      <c r="I100" s="111"/>
      <c r="J100" s="111"/>
      <c r="K100" s="111"/>
      <c r="L100" s="111"/>
      <c r="M100" s="111"/>
      <c r="N100" s="111"/>
      <c r="O100" s="111"/>
      <c r="P100" s="111"/>
      <c r="Q100" s="111"/>
      <c r="R100" s="111"/>
      <c r="S100" s="111"/>
      <c r="T100" s="111"/>
      <c r="U100" s="111"/>
      <c r="V100" s="111"/>
      <c r="W100" s="111"/>
      <c r="X100" s="111"/>
      <c r="Y100" s="111"/>
      <c r="Z100" s="111"/>
      <c r="AC100" s="282"/>
      <c r="AD100" s="360">
        <f t="shared" ref="AD100:AD105" si="20">SUM(F100:AC100)</f>
        <v>0</v>
      </c>
    </row>
    <row r="101" spans="1:30" s="112" customFormat="1" ht="12">
      <c r="A101" s="58"/>
      <c r="B101" s="58" t="s">
        <v>225</v>
      </c>
      <c r="D101" s="229"/>
      <c r="E101" s="236"/>
      <c r="G101" s="111"/>
      <c r="H101" s="111"/>
      <c r="I101" s="111"/>
      <c r="J101" s="111"/>
      <c r="K101" s="111"/>
      <c r="L101" s="111"/>
      <c r="M101" s="111"/>
      <c r="N101" s="111"/>
      <c r="O101" s="111"/>
      <c r="P101" s="111"/>
      <c r="Q101" s="111"/>
      <c r="R101" s="111"/>
      <c r="S101" s="111"/>
      <c r="T101" s="111"/>
      <c r="U101" s="111"/>
      <c r="V101" s="111"/>
      <c r="W101" s="111"/>
      <c r="X101" s="111"/>
      <c r="Y101" s="111"/>
      <c r="Z101" s="111"/>
      <c r="AC101" s="282"/>
      <c r="AD101" s="360">
        <f t="shared" si="20"/>
        <v>0</v>
      </c>
    </row>
    <row r="102" spans="1:30" s="112" customFormat="1" ht="12">
      <c r="A102" s="58"/>
      <c r="B102" s="468" t="s">
        <v>609</v>
      </c>
      <c r="C102" s="78" t="s">
        <v>535</v>
      </c>
      <c r="D102" s="229"/>
      <c r="E102" s="236"/>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376">
        <f t="shared" si="20"/>
        <v>0</v>
      </c>
    </row>
    <row r="103" spans="1:30" s="112" customFormat="1" ht="12">
      <c r="A103" s="58"/>
      <c r="C103" s="78" t="s">
        <v>559</v>
      </c>
      <c r="D103" s="229">
        <f>'Mode Operating Assumptions'!$D$197</f>
        <v>1.8722590666405648E-7</v>
      </c>
      <c r="E103" s="236"/>
      <c r="F103" s="71">
        <f>$D103*(F$12+F$13)</f>
        <v>0</v>
      </c>
      <c r="G103" s="71">
        <f t="shared" ref="G103:AC103" si="21">$D103*(G$12+G$13)</f>
        <v>0</v>
      </c>
      <c r="H103" s="71">
        <f t="shared" si="21"/>
        <v>6.5529067332419772E-4</v>
      </c>
      <c r="I103" s="71">
        <f t="shared" si="21"/>
        <v>7.2081974065661746E-4</v>
      </c>
      <c r="J103" s="71">
        <f t="shared" si="21"/>
        <v>7.8765938933568567E-4</v>
      </c>
      <c r="K103" s="71">
        <f t="shared" si="21"/>
        <v>8.55835830988335E-4</v>
      </c>
      <c r="L103" s="71">
        <f t="shared" si="21"/>
        <v>9.2537580147403762E-4</v>
      </c>
      <c r="M103" s="71">
        <f t="shared" si="21"/>
        <v>9.9630657136945432E-4</v>
      </c>
      <c r="N103" s="71">
        <f t="shared" si="21"/>
        <v>1.06865595666278E-3</v>
      </c>
      <c r="O103" s="71">
        <f t="shared" si="21"/>
        <v>1.1424523296619706E-3</v>
      </c>
      <c r="P103" s="71">
        <f t="shared" si="21"/>
        <v>1.2177246301211466E-3</v>
      </c>
      <c r="Q103" s="71">
        <f t="shared" si="21"/>
        <v>1.2945023765895056E-3</v>
      </c>
      <c r="R103" s="71">
        <f t="shared" si="21"/>
        <v>1.3728156779872311E-3</v>
      </c>
      <c r="S103" s="71">
        <f t="shared" si="21"/>
        <v>1.4526952454129111E-3</v>
      </c>
      <c r="T103" s="71">
        <f t="shared" si="21"/>
        <v>1.5341724041871058E-3</v>
      </c>
      <c r="U103" s="71">
        <f t="shared" si="21"/>
        <v>1.6172791061367835E-3</v>
      </c>
      <c r="V103" s="71">
        <f t="shared" si="21"/>
        <v>1.7020479421254551E-3</v>
      </c>
      <c r="W103" s="71">
        <f t="shared" si="21"/>
        <v>1.7885121548339004E-3</v>
      </c>
      <c r="X103" s="71">
        <f t="shared" si="21"/>
        <v>1.8767056517965139E-3</v>
      </c>
      <c r="Y103" s="71">
        <f t="shared" si="21"/>
        <v>1.9666630186983805E-3</v>
      </c>
      <c r="Z103" s="71">
        <f t="shared" si="21"/>
        <v>2.0584195329382839E-3</v>
      </c>
      <c r="AA103" s="71">
        <f t="shared" si="21"/>
        <v>2.152011177462985E-3</v>
      </c>
      <c r="AB103" s="71">
        <f t="shared" si="21"/>
        <v>2.2474746548781809E-3</v>
      </c>
      <c r="AC103" s="71">
        <f t="shared" si="21"/>
        <v>2.3448474018416808E-3</v>
      </c>
      <c r="AD103" s="376">
        <f t="shared" si="20"/>
        <v>3.1778267268483144E-2</v>
      </c>
    </row>
    <row r="104" spans="1:30" s="112" customFormat="1" ht="12">
      <c r="A104" s="58"/>
      <c r="C104" s="49" t="s">
        <v>40</v>
      </c>
      <c r="D104" s="328">
        <f>-'Mode Operating Assumptions'!$C$181</f>
        <v>-6200000</v>
      </c>
      <c r="E104" s="236"/>
      <c r="F104" s="275">
        <f>F103*$D104</f>
        <v>0</v>
      </c>
      <c r="G104" s="275">
        <f t="shared" ref="G104:AC104" si="22">G103*$D104</f>
        <v>0</v>
      </c>
      <c r="H104" s="275">
        <f t="shared" si="22"/>
        <v>-4062.8021746100258</v>
      </c>
      <c r="I104" s="275">
        <f t="shared" si="22"/>
        <v>-4469.0823920710282</v>
      </c>
      <c r="J104" s="275">
        <f t="shared" si="22"/>
        <v>-4883.4882138812509</v>
      </c>
      <c r="K104" s="275">
        <f t="shared" si="22"/>
        <v>-5306.182152127677</v>
      </c>
      <c r="L104" s="275">
        <f t="shared" si="22"/>
        <v>-5737.329969139033</v>
      </c>
      <c r="M104" s="275">
        <f t="shared" si="22"/>
        <v>-6177.1007424906165</v>
      </c>
      <c r="N104" s="275">
        <f t="shared" si="22"/>
        <v>-6625.6669313092361</v>
      </c>
      <c r="O104" s="275">
        <f t="shared" si="22"/>
        <v>-7083.2044439042184</v>
      </c>
      <c r="P104" s="275">
        <f t="shared" si="22"/>
        <v>-7549.8927067511086</v>
      </c>
      <c r="Q104" s="275">
        <f t="shared" si="22"/>
        <v>-8025.9147348549341</v>
      </c>
      <c r="R104" s="275">
        <f t="shared" si="22"/>
        <v>-8511.457203520833</v>
      </c>
      <c r="S104" s="275">
        <f t="shared" si="22"/>
        <v>-9006.7105215600495</v>
      </c>
      <c r="T104" s="275">
        <f t="shared" si="22"/>
        <v>-9511.8689059600565</v>
      </c>
      <c r="U104" s="275">
        <f t="shared" si="22"/>
        <v>-10027.130458048057</v>
      </c>
      <c r="V104" s="275">
        <f t="shared" si="22"/>
        <v>-10552.697241177821</v>
      </c>
      <c r="W104" s="275">
        <f t="shared" si="22"/>
        <v>-11088.775359970183</v>
      </c>
      <c r="X104" s="275">
        <f t="shared" si="22"/>
        <v>-11635.575041138387</v>
      </c>
      <c r="Y104" s="275">
        <f t="shared" si="22"/>
        <v>-12193.31071592996</v>
      </c>
      <c r="Z104" s="275">
        <f t="shared" si="22"/>
        <v>-12762.20110421736</v>
      </c>
      <c r="AA104" s="275">
        <f t="shared" si="22"/>
        <v>-13342.469300270506</v>
      </c>
      <c r="AB104" s="275">
        <f t="shared" si="22"/>
        <v>-13934.342860244722</v>
      </c>
      <c r="AC104" s="275">
        <f t="shared" si="22"/>
        <v>-14538.05389141842</v>
      </c>
      <c r="AD104" s="369">
        <f t="shared" si="20"/>
        <v>-197025.25706459547</v>
      </c>
    </row>
    <row r="105" spans="1:30" s="112" customFormat="1" ht="12">
      <c r="A105" s="58"/>
      <c r="C105" s="78" t="s">
        <v>560</v>
      </c>
      <c r="D105" s="229">
        <f>'Mode Operating Assumptions'!$D$198</f>
        <v>8.7375046258002826E-6</v>
      </c>
      <c r="E105" s="236"/>
      <c r="F105" s="71">
        <f>$D105*(F$12+F$13)</f>
        <v>0</v>
      </c>
      <c r="G105" s="71">
        <f t="shared" ref="G105:AC105" si="23">$D105*(G$12+G$13)</f>
        <v>0</v>
      </c>
      <c r="H105" s="71">
        <f t="shared" si="23"/>
        <v>3.058126619030099E-2</v>
      </c>
      <c r="I105" s="71">
        <f t="shared" si="23"/>
        <v>3.3639392809331085E-2</v>
      </c>
      <c r="J105" s="71">
        <f t="shared" si="23"/>
        <v>3.6758681960741786E-2</v>
      </c>
      <c r="K105" s="71">
        <f t="shared" si="23"/>
        <v>3.9940356895180697E-2</v>
      </c>
      <c r="L105" s="71">
        <f t="shared" si="23"/>
        <v>4.3185665328308392E-2</v>
      </c>
      <c r="M105" s="71">
        <f t="shared" si="23"/>
        <v>4.6495879930098648E-2</v>
      </c>
      <c r="N105" s="71">
        <f t="shared" si="23"/>
        <v>4.9872298823924736E-2</v>
      </c>
      <c r="O105" s="71">
        <f t="shared" si="23"/>
        <v>5.3316246095627275E-2</v>
      </c>
      <c r="P105" s="71">
        <f t="shared" si="23"/>
        <v>5.6829072312763927E-2</v>
      </c>
      <c r="Q105" s="71">
        <f t="shared" si="23"/>
        <v>6.0412155054243299E-2</v>
      </c>
      <c r="R105" s="71">
        <f t="shared" si="23"/>
        <v>6.4066899450552231E-2</v>
      </c>
      <c r="S105" s="71">
        <f t="shared" si="23"/>
        <v>6.7794738734787321E-2</v>
      </c>
      <c r="T105" s="71">
        <f t="shared" si="23"/>
        <v>7.1597134804707183E-2</v>
      </c>
      <c r="U105" s="71">
        <f t="shared" si="23"/>
        <v>7.54755787960254E-2</v>
      </c>
      <c r="V105" s="71">
        <f t="shared" si="23"/>
        <v>7.9431591667169982E-2</v>
      </c>
      <c r="W105" s="71">
        <f t="shared" si="23"/>
        <v>8.3466724795737496E-2</v>
      </c>
      <c r="X105" s="71">
        <f t="shared" si="23"/>
        <v>8.7582560586876301E-2</v>
      </c>
      <c r="Y105" s="71">
        <f t="shared" si="23"/>
        <v>9.1780713093837923E-2</v>
      </c>
      <c r="Z105" s="71">
        <f t="shared" si="23"/>
        <v>9.6062828650938764E-2</v>
      </c>
      <c r="AA105" s="71">
        <f t="shared" si="23"/>
        <v>0.1004305865191816</v>
      </c>
      <c r="AB105" s="71">
        <f t="shared" si="23"/>
        <v>0.10488569954478934</v>
      </c>
      <c r="AC105" s="71">
        <f t="shared" si="23"/>
        <v>0.10942991483090922</v>
      </c>
      <c r="AD105" s="376">
        <f t="shared" si="20"/>
        <v>1.4830359868760337</v>
      </c>
    </row>
    <row r="106" spans="1:30" s="112" customFormat="1" ht="12">
      <c r="C106" s="49" t="s">
        <v>41</v>
      </c>
      <c r="D106" s="328">
        <f>-'Mode Operating Assumptions'!$C$177</f>
        <v>-291400</v>
      </c>
      <c r="E106" s="236"/>
      <c r="F106" s="275">
        <f>F105*$D106</f>
        <v>0</v>
      </c>
      <c r="G106" s="275">
        <f t="shared" ref="G106:AC106" si="24">G105*$D106</f>
        <v>0</v>
      </c>
      <c r="H106" s="275">
        <f t="shared" si="24"/>
        <v>-8911.3809678537091</v>
      </c>
      <c r="I106" s="275">
        <f t="shared" si="24"/>
        <v>-9802.5190646390784</v>
      </c>
      <c r="J106" s="275">
        <f t="shared" si="24"/>
        <v>-10711.479923360157</v>
      </c>
      <c r="K106" s="275">
        <f t="shared" si="24"/>
        <v>-11638.619999255656</v>
      </c>
      <c r="L106" s="275">
        <f t="shared" si="24"/>
        <v>-12584.302876669066</v>
      </c>
      <c r="M106" s="275">
        <f t="shared" si="24"/>
        <v>-13548.899411630746</v>
      </c>
      <c r="N106" s="275">
        <f t="shared" si="24"/>
        <v>-14532.787877291668</v>
      </c>
      <c r="O106" s="275">
        <f t="shared" si="24"/>
        <v>-15536.354112265788</v>
      </c>
      <c r="P106" s="275">
        <f t="shared" si="24"/>
        <v>-16559.99167193941</v>
      </c>
      <c r="Q106" s="275">
        <f t="shared" si="24"/>
        <v>-17604.101982806496</v>
      </c>
      <c r="R106" s="275">
        <f t="shared" si="24"/>
        <v>-18669.094499890922</v>
      </c>
      <c r="S106" s="275">
        <f t="shared" si="24"/>
        <v>-19755.386867317025</v>
      </c>
      <c r="T106" s="275">
        <f t="shared" si="24"/>
        <v>-20863.405082091675</v>
      </c>
      <c r="U106" s="275">
        <f t="shared" si="24"/>
        <v>-21993.583661161803</v>
      </c>
      <c r="V106" s="275">
        <f t="shared" si="24"/>
        <v>-23146.365811813332</v>
      </c>
      <c r="W106" s="275">
        <f t="shared" si="24"/>
        <v>-24322.203605477906</v>
      </c>
      <c r="X106" s="275">
        <f t="shared" si="24"/>
        <v>-25521.558155015755</v>
      </c>
      <c r="Y106" s="275">
        <f t="shared" si="24"/>
        <v>-26744.89979554437</v>
      </c>
      <c r="Z106" s="275">
        <f t="shared" si="24"/>
        <v>-27992.708268883554</v>
      </c>
      <c r="AA106" s="275">
        <f t="shared" si="24"/>
        <v>-29265.472911689518</v>
      </c>
      <c r="AB106" s="275">
        <f t="shared" si="24"/>
        <v>-30563.692847351613</v>
      </c>
      <c r="AC106" s="275">
        <f t="shared" si="24"/>
        <v>-31887.877181726948</v>
      </c>
      <c r="AD106" s="369">
        <f t="shared" ref="AD106:AD122" si="25">SUM(F106:AC106)</f>
        <v>-432156.68657567626</v>
      </c>
    </row>
    <row r="107" spans="1:30" s="112" customFormat="1" ht="12">
      <c r="A107" s="58"/>
      <c r="C107" s="49"/>
      <c r="D107" s="328"/>
      <c r="E107" s="236"/>
      <c r="F107" s="275"/>
      <c r="G107" s="275"/>
      <c r="H107" s="275"/>
      <c r="I107" s="275"/>
      <c r="J107" s="275"/>
      <c r="K107" s="275"/>
      <c r="L107" s="275"/>
      <c r="M107" s="275"/>
      <c r="N107" s="275"/>
      <c r="O107" s="275"/>
      <c r="P107" s="275"/>
      <c r="Q107" s="275"/>
      <c r="R107" s="275"/>
      <c r="S107" s="275"/>
      <c r="T107" s="275"/>
      <c r="U107" s="275"/>
      <c r="V107" s="275"/>
      <c r="W107" s="275"/>
      <c r="X107" s="275"/>
      <c r="Y107" s="275"/>
      <c r="Z107" s="275"/>
      <c r="AA107" s="275"/>
      <c r="AB107" s="275"/>
      <c r="AC107" s="275"/>
      <c r="AD107" s="369"/>
    </row>
    <row r="108" spans="1:30" s="112" customFormat="1" ht="12">
      <c r="A108" s="58"/>
      <c r="B108" s="469" t="s">
        <v>610</v>
      </c>
      <c r="C108" s="78" t="s">
        <v>608</v>
      </c>
      <c r="D108" s="229"/>
      <c r="E108" s="236"/>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376">
        <f t="shared" ref="AD108:AD111" si="26">SUM(F108:AC108)</f>
        <v>0</v>
      </c>
    </row>
    <row r="109" spans="1:30" s="112" customFormat="1" ht="12">
      <c r="A109" s="58"/>
      <c r="C109" s="78" t="s">
        <v>559</v>
      </c>
      <c r="D109" s="229">
        <v>0</v>
      </c>
      <c r="E109" s="236"/>
      <c r="F109" s="71">
        <f>$D109*(F$11+F$12+F$13)</f>
        <v>0</v>
      </c>
      <c r="G109" s="71">
        <f t="shared" ref="G109:AC109" si="27">$D109*(G$11+G$12+G$13)</f>
        <v>0</v>
      </c>
      <c r="H109" s="71">
        <f>$D109*(H$11+H$12+H$13)</f>
        <v>0</v>
      </c>
      <c r="I109" s="71">
        <f t="shared" si="27"/>
        <v>0</v>
      </c>
      <c r="J109" s="71">
        <f t="shared" si="27"/>
        <v>0</v>
      </c>
      <c r="K109" s="71">
        <f t="shared" si="27"/>
        <v>0</v>
      </c>
      <c r="L109" s="71">
        <f t="shared" si="27"/>
        <v>0</v>
      </c>
      <c r="M109" s="71">
        <f t="shared" si="27"/>
        <v>0</v>
      </c>
      <c r="N109" s="71">
        <f t="shared" si="27"/>
        <v>0</v>
      </c>
      <c r="O109" s="71">
        <f t="shared" si="27"/>
        <v>0</v>
      </c>
      <c r="P109" s="71">
        <f t="shared" si="27"/>
        <v>0</v>
      </c>
      <c r="Q109" s="71">
        <f t="shared" si="27"/>
        <v>0</v>
      </c>
      <c r="R109" s="71">
        <f t="shared" si="27"/>
        <v>0</v>
      </c>
      <c r="S109" s="71">
        <f t="shared" si="27"/>
        <v>0</v>
      </c>
      <c r="T109" s="71">
        <f t="shared" si="27"/>
        <v>0</v>
      </c>
      <c r="U109" s="71">
        <f t="shared" si="27"/>
        <v>0</v>
      </c>
      <c r="V109" s="71">
        <f t="shared" si="27"/>
        <v>0</v>
      </c>
      <c r="W109" s="71">
        <f t="shared" si="27"/>
        <v>0</v>
      </c>
      <c r="X109" s="71">
        <f t="shared" si="27"/>
        <v>0</v>
      </c>
      <c r="Y109" s="71">
        <f t="shared" si="27"/>
        <v>0</v>
      </c>
      <c r="Z109" s="71">
        <f t="shared" si="27"/>
        <v>0</v>
      </c>
      <c r="AA109" s="71">
        <f t="shared" si="27"/>
        <v>0</v>
      </c>
      <c r="AB109" s="71">
        <f t="shared" si="27"/>
        <v>0</v>
      </c>
      <c r="AC109" s="71">
        <f t="shared" si="27"/>
        <v>0</v>
      </c>
      <c r="AD109" s="376">
        <f t="shared" si="26"/>
        <v>0</v>
      </c>
    </row>
    <row r="110" spans="1:30" s="112" customFormat="1" ht="12">
      <c r="A110" s="58"/>
      <c r="C110" s="49" t="s">
        <v>40</v>
      </c>
      <c r="D110" s="328">
        <f>-'Mode Operating Assumptions'!$C$181</f>
        <v>-6200000</v>
      </c>
      <c r="E110" s="236"/>
      <c r="F110" s="275">
        <f>F109*$D110</f>
        <v>0</v>
      </c>
      <c r="G110" s="275">
        <f t="shared" ref="G110:AC110" si="28">G109*$D110</f>
        <v>0</v>
      </c>
      <c r="H110" s="275">
        <f t="shared" si="28"/>
        <v>0</v>
      </c>
      <c r="I110" s="275">
        <f t="shared" si="28"/>
        <v>0</v>
      </c>
      <c r="J110" s="275">
        <f t="shared" si="28"/>
        <v>0</v>
      </c>
      <c r="K110" s="275">
        <f t="shared" si="28"/>
        <v>0</v>
      </c>
      <c r="L110" s="275">
        <f t="shared" si="28"/>
        <v>0</v>
      </c>
      <c r="M110" s="275">
        <f t="shared" si="28"/>
        <v>0</v>
      </c>
      <c r="N110" s="275">
        <f t="shared" si="28"/>
        <v>0</v>
      </c>
      <c r="O110" s="275">
        <f t="shared" si="28"/>
        <v>0</v>
      </c>
      <c r="P110" s="275">
        <f t="shared" si="28"/>
        <v>0</v>
      </c>
      <c r="Q110" s="275">
        <f t="shared" si="28"/>
        <v>0</v>
      </c>
      <c r="R110" s="275">
        <f t="shared" si="28"/>
        <v>0</v>
      </c>
      <c r="S110" s="275">
        <f t="shared" si="28"/>
        <v>0</v>
      </c>
      <c r="T110" s="275">
        <f t="shared" si="28"/>
        <v>0</v>
      </c>
      <c r="U110" s="275">
        <f t="shared" si="28"/>
        <v>0</v>
      </c>
      <c r="V110" s="275">
        <f t="shared" si="28"/>
        <v>0</v>
      </c>
      <c r="W110" s="275">
        <f t="shared" si="28"/>
        <v>0</v>
      </c>
      <c r="X110" s="275">
        <f t="shared" si="28"/>
        <v>0</v>
      </c>
      <c r="Y110" s="275">
        <f t="shared" si="28"/>
        <v>0</v>
      </c>
      <c r="Z110" s="275">
        <f t="shared" si="28"/>
        <v>0</v>
      </c>
      <c r="AA110" s="275">
        <f t="shared" si="28"/>
        <v>0</v>
      </c>
      <c r="AB110" s="275">
        <f t="shared" si="28"/>
        <v>0</v>
      </c>
      <c r="AC110" s="275">
        <f t="shared" si="28"/>
        <v>0</v>
      </c>
      <c r="AD110" s="369">
        <f t="shared" si="26"/>
        <v>0</v>
      </c>
    </row>
    <row r="111" spans="1:30" s="112" customFormat="1" ht="12">
      <c r="A111" s="58"/>
      <c r="C111" s="78" t="s">
        <v>560</v>
      </c>
      <c r="D111" s="229">
        <v>0</v>
      </c>
      <c r="E111" s="236"/>
      <c r="F111" s="71">
        <f>$D111*(F$11+F$12+F$13)</f>
        <v>0</v>
      </c>
      <c r="G111" s="71">
        <f t="shared" ref="G111:AC111" si="29">$D111*(G$11+G$12+G$13)</f>
        <v>0</v>
      </c>
      <c r="H111" s="71">
        <f t="shared" si="29"/>
        <v>0</v>
      </c>
      <c r="I111" s="71">
        <f t="shared" si="29"/>
        <v>0</v>
      </c>
      <c r="J111" s="71">
        <f t="shared" si="29"/>
        <v>0</v>
      </c>
      <c r="K111" s="71">
        <f t="shared" si="29"/>
        <v>0</v>
      </c>
      <c r="L111" s="71">
        <f t="shared" si="29"/>
        <v>0</v>
      </c>
      <c r="M111" s="71">
        <f t="shared" si="29"/>
        <v>0</v>
      </c>
      <c r="N111" s="71">
        <f t="shared" si="29"/>
        <v>0</v>
      </c>
      <c r="O111" s="71">
        <f t="shared" si="29"/>
        <v>0</v>
      </c>
      <c r="P111" s="71">
        <f t="shared" si="29"/>
        <v>0</v>
      </c>
      <c r="Q111" s="71">
        <f t="shared" si="29"/>
        <v>0</v>
      </c>
      <c r="R111" s="71">
        <f t="shared" si="29"/>
        <v>0</v>
      </c>
      <c r="S111" s="71">
        <f t="shared" si="29"/>
        <v>0</v>
      </c>
      <c r="T111" s="71">
        <f t="shared" si="29"/>
        <v>0</v>
      </c>
      <c r="U111" s="71">
        <f t="shared" si="29"/>
        <v>0</v>
      </c>
      <c r="V111" s="71">
        <f t="shared" si="29"/>
        <v>0</v>
      </c>
      <c r="W111" s="71">
        <f t="shared" si="29"/>
        <v>0</v>
      </c>
      <c r="X111" s="71">
        <f t="shared" si="29"/>
        <v>0</v>
      </c>
      <c r="Y111" s="71">
        <f t="shared" si="29"/>
        <v>0</v>
      </c>
      <c r="Z111" s="71">
        <f t="shared" si="29"/>
        <v>0</v>
      </c>
      <c r="AA111" s="71">
        <f t="shared" si="29"/>
        <v>0</v>
      </c>
      <c r="AB111" s="71">
        <f t="shared" si="29"/>
        <v>0</v>
      </c>
      <c r="AC111" s="71">
        <f t="shared" si="29"/>
        <v>0</v>
      </c>
      <c r="AD111" s="376">
        <f t="shared" si="26"/>
        <v>0</v>
      </c>
    </row>
    <row r="112" spans="1:30" s="112" customFormat="1" ht="12">
      <c r="C112" s="49" t="s">
        <v>41</v>
      </c>
      <c r="D112" s="328">
        <f>-'Mode Operating Assumptions'!$C$177</f>
        <v>-291400</v>
      </c>
      <c r="E112" s="236"/>
      <c r="F112" s="275">
        <f>F111*$D112</f>
        <v>0</v>
      </c>
      <c r="G112" s="275">
        <f t="shared" ref="G112:AC112" si="30">G111*$D112</f>
        <v>0</v>
      </c>
      <c r="H112" s="275">
        <f t="shared" si="30"/>
        <v>0</v>
      </c>
      <c r="I112" s="275">
        <f t="shared" si="30"/>
        <v>0</v>
      </c>
      <c r="J112" s="275">
        <f t="shared" si="30"/>
        <v>0</v>
      </c>
      <c r="K112" s="275">
        <f t="shared" si="30"/>
        <v>0</v>
      </c>
      <c r="L112" s="275">
        <f t="shared" si="30"/>
        <v>0</v>
      </c>
      <c r="M112" s="275">
        <f t="shared" si="30"/>
        <v>0</v>
      </c>
      <c r="N112" s="275">
        <f t="shared" si="30"/>
        <v>0</v>
      </c>
      <c r="O112" s="275">
        <f t="shared" si="30"/>
        <v>0</v>
      </c>
      <c r="P112" s="275">
        <f t="shared" si="30"/>
        <v>0</v>
      </c>
      <c r="Q112" s="275">
        <f t="shared" si="30"/>
        <v>0</v>
      </c>
      <c r="R112" s="275">
        <f t="shared" si="30"/>
        <v>0</v>
      </c>
      <c r="S112" s="275">
        <f t="shared" si="30"/>
        <v>0</v>
      </c>
      <c r="T112" s="275">
        <f t="shared" si="30"/>
        <v>0</v>
      </c>
      <c r="U112" s="275">
        <f t="shared" si="30"/>
        <v>0</v>
      </c>
      <c r="V112" s="275">
        <f t="shared" si="30"/>
        <v>0</v>
      </c>
      <c r="W112" s="275">
        <f t="shared" si="30"/>
        <v>0</v>
      </c>
      <c r="X112" s="275">
        <f t="shared" si="30"/>
        <v>0</v>
      </c>
      <c r="Y112" s="275">
        <f t="shared" si="30"/>
        <v>0</v>
      </c>
      <c r="Z112" s="275">
        <f t="shared" si="30"/>
        <v>0</v>
      </c>
      <c r="AA112" s="275">
        <f t="shared" si="30"/>
        <v>0</v>
      </c>
      <c r="AB112" s="275">
        <f t="shared" si="30"/>
        <v>0</v>
      </c>
      <c r="AC112" s="275">
        <f t="shared" si="30"/>
        <v>0</v>
      </c>
      <c r="AD112" s="369">
        <f t="shared" ref="AD112" si="31">SUM(F112:AC112)</f>
        <v>0</v>
      </c>
    </row>
    <row r="113" spans="1:30" s="112" customFormat="1" ht="12">
      <c r="A113" s="58"/>
      <c r="C113" s="49"/>
      <c r="D113" s="328"/>
      <c r="E113" s="236"/>
      <c r="F113" s="275"/>
      <c r="G113" s="275"/>
      <c r="H113" s="275"/>
      <c r="I113" s="275"/>
      <c r="J113" s="275"/>
      <c r="K113" s="275"/>
      <c r="L113" s="275"/>
      <c r="M113" s="275"/>
      <c r="N113" s="275"/>
      <c r="O113" s="275"/>
      <c r="P113" s="275"/>
      <c r="Q113" s="275"/>
      <c r="R113" s="275"/>
      <c r="S113" s="275"/>
      <c r="T113" s="275"/>
      <c r="U113" s="275"/>
      <c r="V113" s="275"/>
      <c r="W113" s="275"/>
      <c r="X113" s="275"/>
      <c r="Y113" s="275"/>
      <c r="Z113" s="275"/>
      <c r="AA113" s="275"/>
      <c r="AB113" s="275"/>
      <c r="AC113" s="275"/>
      <c r="AD113" s="369"/>
    </row>
    <row r="114" spans="1:30" s="112" customFormat="1" ht="12">
      <c r="A114" s="58"/>
      <c r="B114" s="58" t="s">
        <v>545</v>
      </c>
      <c r="C114" s="78" t="s">
        <v>603</v>
      </c>
      <c r="D114" s="229"/>
      <c r="E114" s="236"/>
      <c r="G114" s="55"/>
      <c r="AD114" s="360">
        <f t="shared" si="25"/>
        <v>0</v>
      </c>
    </row>
    <row r="115" spans="1:30" s="112" customFormat="1" ht="12">
      <c r="A115" s="58"/>
      <c r="B115" s="58"/>
      <c r="C115" s="78" t="s">
        <v>559</v>
      </c>
      <c r="D115" s="229">
        <f>'Mode Operating Assumptions'!$D$186</f>
        <v>8.6836127924972328E-9</v>
      </c>
      <c r="E115" s="236"/>
      <c r="F115" s="55">
        <f>$D115*F$20</f>
        <v>0</v>
      </c>
      <c r="G115" s="55">
        <f t="shared" ref="G115:AC115" si="32">$D115*G$20</f>
        <v>0</v>
      </c>
      <c r="H115" s="55">
        <f t="shared" si="32"/>
        <v>-7.2182531337633253E-4</v>
      </c>
      <c r="I115" s="55">
        <f t="shared" si="32"/>
        <v>-7.9400784471396577E-4</v>
      </c>
      <c r="J115" s="55">
        <f t="shared" si="32"/>
        <v>-8.6763402667835153E-4</v>
      </c>
      <c r="K115" s="55">
        <f t="shared" si="32"/>
        <v>-9.4273273228202522E-4</v>
      </c>
      <c r="L115" s="55">
        <f t="shared" si="32"/>
        <v>-1.0193334119977724E-3</v>
      </c>
      <c r="M115" s="55">
        <f t="shared" si="32"/>
        <v>-1.0974661053078346E-3</v>
      </c>
      <c r="N115" s="55">
        <f t="shared" si="32"/>
        <v>-1.1771614524840987E-3</v>
      </c>
      <c r="O115" s="55">
        <f t="shared" si="32"/>
        <v>-1.2584507066038862E-3</v>
      </c>
      <c r="P115" s="55">
        <f t="shared" si="32"/>
        <v>-1.3413657458060716E-3</v>
      </c>
      <c r="Q115" s="55">
        <f t="shared" si="32"/>
        <v>-1.4259390857922995E-3</v>
      </c>
      <c r="R115" s="55">
        <f t="shared" si="32"/>
        <v>-1.5122038925782521E-3</v>
      </c>
      <c r="S115" s="55">
        <f t="shared" si="32"/>
        <v>-1.6001939954999229E-3</v>
      </c>
      <c r="T115" s="55">
        <f t="shared" si="32"/>
        <v>-1.6899439004800288E-3</v>
      </c>
      <c r="U115" s="55">
        <f t="shared" si="32"/>
        <v>-1.781488803559736E-3</v>
      </c>
      <c r="V115" s="55">
        <f t="shared" si="32"/>
        <v>-1.874864604701037E-3</v>
      </c>
      <c r="W115" s="55">
        <f t="shared" si="32"/>
        <v>-1.970107921865165E-3</v>
      </c>
      <c r="X115" s="55">
        <f t="shared" si="32"/>
        <v>-2.0672561053725743E-3</v>
      </c>
      <c r="Y115" s="55">
        <f t="shared" si="32"/>
        <v>-2.1663472525501335E-3</v>
      </c>
      <c r="Z115" s="55">
        <f t="shared" si="32"/>
        <v>-2.2674202226712426E-3</v>
      </c>
      <c r="AA115" s="55">
        <f t="shared" si="32"/>
        <v>-2.3705146521947728E-3</v>
      </c>
      <c r="AB115" s="55">
        <f t="shared" si="32"/>
        <v>-2.4756709703087762E-3</v>
      </c>
      <c r="AC115" s="55">
        <f t="shared" si="32"/>
        <v>-2.5829304147850585E-3</v>
      </c>
      <c r="AD115" s="376">
        <f t="shared" si="25"/>
        <v>-3.5004859161609336E-2</v>
      </c>
    </row>
    <row r="116" spans="1:30" s="112" customFormat="1" ht="12">
      <c r="A116" s="58"/>
      <c r="B116" s="58"/>
      <c r="C116" s="49" t="s">
        <v>40</v>
      </c>
      <c r="D116" s="328">
        <f>D104</f>
        <v>-6200000</v>
      </c>
      <c r="E116" s="236"/>
      <c r="F116" s="275">
        <f>F115*$D116</f>
        <v>0</v>
      </c>
      <c r="G116" s="275">
        <f t="shared" ref="G116:AC116" si="33">G115*$D116</f>
        <v>0</v>
      </c>
      <c r="H116" s="275">
        <f t="shared" si="33"/>
        <v>4475.316942933262</v>
      </c>
      <c r="I116" s="275">
        <f t="shared" si="33"/>
        <v>4922.8486372265879</v>
      </c>
      <c r="J116" s="275">
        <f t="shared" si="33"/>
        <v>5379.3309654057794</v>
      </c>
      <c r="K116" s="275">
        <f t="shared" si="33"/>
        <v>5844.9429401485568</v>
      </c>
      <c r="L116" s="275">
        <f t="shared" si="33"/>
        <v>6319.8671543861883</v>
      </c>
      <c r="M116" s="275">
        <f t="shared" si="33"/>
        <v>6804.2898529085742</v>
      </c>
      <c r="N116" s="275">
        <f t="shared" si="33"/>
        <v>7298.4010054014125</v>
      </c>
      <c r="O116" s="275">
        <f t="shared" si="33"/>
        <v>7802.3943809440943</v>
      </c>
      <c r="P116" s="275">
        <f t="shared" si="33"/>
        <v>8316.4676239976434</v>
      </c>
      <c r="Q116" s="275">
        <f t="shared" si="33"/>
        <v>8840.8223319122571</v>
      </c>
      <c r="R116" s="275">
        <f t="shared" si="33"/>
        <v>9375.6641339851631</v>
      </c>
      <c r="S116" s="275">
        <f t="shared" si="33"/>
        <v>9921.2027720995229</v>
      </c>
      <c r="T116" s="275">
        <f t="shared" si="33"/>
        <v>10477.652182976179</v>
      </c>
      <c r="U116" s="275">
        <f t="shared" si="33"/>
        <v>11045.230582070364</v>
      </c>
      <c r="V116" s="275">
        <f t="shared" si="33"/>
        <v>11624.160549146429</v>
      </c>
      <c r="W116" s="275">
        <f t="shared" si="33"/>
        <v>12214.669115564022</v>
      </c>
      <c r="X116" s="275">
        <f t="shared" si="33"/>
        <v>12816.987853309962</v>
      </c>
      <c r="Y116" s="275">
        <f t="shared" si="33"/>
        <v>13431.352965810827</v>
      </c>
      <c r="Z116" s="275">
        <f t="shared" si="33"/>
        <v>14058.005380561704</v>
      </c>
      <c r="AA116" s="275">
        <f t="shared" si="33"/>
        <v>14697.190843607592</v>
      </c>
      <c r="AB116" s="275">
        <f t="shared" si="33"/>
        <v>15349.160015914413</v>
      </c>
      <c r="AC116" s="275">
        <f t="shared" si="33"/>
        <v>16014.168571667362</v>
      </c>
      <c r="AD116" s="369">
        <f t="shared" si="25"/>
        <v>217030.12680197789</v>
      </c>
    </row>
    <row r="117" spans="1:30" s="112" customFormat="1" ht="12">
      <c r="A117" s="58"/>
      <c r="B117" s="58"/>
      <c r="C117" s="78" t="s">
        <v>560</v>
      </c>
      <c r="D117" s="229">
        <f>'Mode Operating Assumptions'!$D$187</f>
        <v>8.1339537419145546E-7</v>
      </c>
      <c r="E117" s="236"/>
      <c r="F117" s="55">
        <f>$D117*F$20</f>
        <v>0</v>
      </c>
      <c r="G117" s="55">
        <f t="shared" ref="G117:AC117" si="34">$D117*G$20</f>
        <v>0</v>
      </c>
      <c r="H117" s="55">
        <f t="shared" si="34"/>
        <v>-6.7613490479664737E-2</v>
      </c>
      <c r="I117" s="55">
        <f t="shared" si="34"/>
        <v>-7.4374839527631215E-2</v>
      </c>
      <c r="J117" s="55">
        <f t="shared" si="34"/>
        <v>-8.1271415556556995E-2</v>
      </c>
      <c r="K117" s="55">
        <f t="shared" si="34"/>
        <v>-8.8305923106061335E-2</v>
      </c>
      <c r="L117" s="55">
        <f t="shared" si="34"/>
        <v>-9.5481120806555742E-2</v>
      </c>
      <c r="M117" s="55">
        <f t="shared" si="34"/>
        <v>-0.10279982246106005</v>
      </c>
      <c r="N117" s="55">
        <f t="shared" si="34"/>
        <v>-0.11026489814865449</v>
      </c>
      <c r="O117" s="55">
        <f t="shared" si="34"/>
        <v>-0.11787927535000069</v>
      </c>
      <c r="P117" s="55">
        <f t="shared" si="34"/>
        <v>-0.12564594009537397</v>
      </c>
      <c r="Q117" s="55">
        <f t="shared" si="34"/>
        <v>-0.13356793813565462</v>
      </c>
      <c r="R117" s="55">
        <f t="shared" si="34"/>
        <v>-0.14164837613674089</v>
      </c>
      <c r="S117" s="55">
        <f t="shared" si="34"/>
        <v>-0.14989042289784879</v>
      </c>
      <c r="T117" s="55">
        <f t="shared" si="34"/>
        <v>-0.15829731059417904</v>
      </c>
      <c r="U117" s="55">
        <f t="shared" si="34"/>
        <v>-0.1668723360444358</v>
      </c>
      <c r="V117" s="55">
        <f t="shared" si="34"/>
        <v>-0.17561886200369767</v>
      </c>
      <c r="W117" s="55">
        <f t="shared" si="34"/>
        <v>-0.18454031848214486</v>
      </c>
      <c r="X117" s="55">
        <f t="shared" si="34"/>
        <v>-0.19364020409016089</v>
      </c>
      <c r="Y117" s="55">
        <f t="shared" si="34"/>
        <v>-0.20292208741033735</v>
      </c>
      <c r="Z117" s="55">
        <f t="shared" si="34"/>
        <v>-0.21238960839691728</v>
      </c>
      <c r="AA117" s="55">
        <f t="shared" si="34"/>
        <v>-0.2220464798032287</v>
      </c>
      <c r="AB117" s="55">
        <f t="shared" si="34"/>
        <v>-0.23189648863766657</v>
      </c>
      <c r="AC117" s="55">
        <f t="shared" si="34"/>
        <v>-0.24194349764879308</v>
      </c>
      <c r="AD117" s="376">
        <f t="shared" si="25"/>
        <v>-3.2789106558133643</v>
      </c>
    </row>
    <row r="118" spans="1:30" s="112" customFormat="1" ht="12">
      <c r="A118" s="58"/>
      <c r="B118" s="58"/>
      <c r="C118" s="49" t="s">
        <v>41</v>
      </c>
      <c r="D118" s="328">
        <f>D106</f>
        <v>-291400</v>
      </c>
      <c r="E118" s="236"/>
      <c r="F118" s="275">
        <f>F117*$D118</f>
        <v>0</v>
      </c>
      <c r="G118" s="275">
        <f t="shared" ref="G118:AC118" si="35">G117*$D118</f>
        <v>0</v>
      </c>
      <c r="H118" s="275">
        <f t="shared" si="35"/>
        <v>19702.571125774306</v>
      </c>
      <c r="I118" s="275">
        <f t="shared" si="35"/>
        <v>21672.828238351736</v>
      </c>
      <c r="J118" s="275">
        <f t="shared" si="35"/>
        <v>23682.490493180707</v>
      </c>
      <c r="K118" s="275">
        <f t="shared" si="35"/>
        <v>25732.345993106272</v>
      </c>
      <c r="L118" s="275">
        <f t="shared" si="35"/>
        <v>27823.198603030341</v>
      </c>
      <c r="M118" s="275">
        <f t="shared" si="35"/>
        <v>29955.868265152898</v>
      </c>
      <c r="N118" s="275">
        <f t="shared" si="35"/>
        <v>32131.191320517919</v>
      </c>
      <c r="O118" s="275">
        <f t="shared" si="35"/>
        <v>34350.020836990203</v>
      </c>
      <c r="P118" s="275">
        <f t="shared" si="35"/>
        <v>36613.226943791975</v>
      </c>
      <c r="Q118" s="275">
        <f t="shared" si="35"/>
        <v>38921.697172729757</v>
      </c>
      <c r="R118" s="275">
        <f t="shared" si="35"/>
        <v>41276.336806246298</v>
      </c>
      <c r="S118" s="275">
        <f t="shared" si="35"/>
        <v>43678.069232433139</v>
      </c>
      <c r="T118" s="275">
        <f t="shared" si="35"/>
        <v>46127.836307143771</v>
      </c>
      <c r="U118" s="275">
        <f t="shared" si="35"/>
        <v>48626.598723348594</v>
      </c>
      <c r="V118" s="275">
        <f t="shared" si="35"/>
        <v>51175.336387877498</v>
      </c>
      <c r="W118" s="275">
        <f t="shared" si="35"/>
        <v>53775.048805697013</v>
      </c>
      <c r="X118" s="275">
        <f t="shared" si="35"/>
        <v>56426.755471872886</v>
      </c>
      <c r="Y118" s="275">
        <f t="shared" si="35"/>
        <v>59131.4962713723</v>
      </c>
      <c r="Z118" s="275">
        <f t="shared" si="35"/>
        <v>61890.331886861699</v>
      </c>
      <c r="AA118" s="275">
        <f t="shared" si="35"/>
        <v>64704.344214660843</v>
      </c>
      <c r="AB118" s="275">
        <f t="shared" si="35"/>
        <v>67574.636789016033</v>
      </c>
      <c r="AC118" s="275">
        <f t="shared" si="35"/>
        <v>70502.335214858307</v>
      </c>
      <c r="AD118" s="369">
        <f t="shared" si="25"/>
        <v>955474.56510401459</v>
      </c>
    </row>
    <row r="119" spans="1:30" s="112" customFormat="1" ht="12">
      <c r="A119" s="58"/>
      <c r="B119" s="58"/>
      <c r="C119" s="78" t="s">
        <v>572</v>
      </c>
      <c r="D119" s="229">
        <f>'Mode Operating Assumptions'!$D$185</f>
        <v>1.8640215942009768E-6</v>
      </c>
      <c r="E119" s="236"/>
      <c r="F119" s="55">
        <f>$D119*F$20</f>
        <v>0</v>
      </c>
      <c r="G119" s="55">
        <f t="shared" ref="G119:AC119" si="36">$D119*G$20</f>
        <v>0</v>
      </c>
      <c r="H119" s="55">
        <f t="shared" si="36"/>
        <v>-0.15494679501795619</v>
      </c>
      <c r="I119" s="55">
        <f t="shared" si="36"/>
        <v>-0.17044147451975181</v>
      </c>
      <c r="J119" s="55">
        <f t="shared" si="36"/>
        <v>-0.18624604761158334</v>
      </c>
      <c r="K119" s="55">
        <f t="shared" si="36"/>
        <v>-0.20236671216525151</v>
      </c>
      <c r="L119" s="55">
        <f t="shared" si="36"/>
        <v>-0.21880979000999304</v>
      </c>
      <c r="M119" s="55">
        <f t="shared" si="36"/>
        <v>-0.23558172941162944</v>
      </c>
      <c r="N119" s="55">
        <f t="shared" si="36"/>
        <v>-0.2526891076012987</v>
      </c>
      <c r="O119" s="55">
        <f t="shared" si="36"/>
        <v>-0.27013863335476096</v>
      </c>
      <c r="P119" s="55">
        <f t="shared" si="36"/>
        <v>-0.28793714962329287</v>
      </c>
      <c r="Q119" s="55">
        <f t="shared" si="36"/>
        <v>-0.30609163621719521</v>
      </c>
      <c r="R119" s="55">
        <f t="shared" si="36"/>
        <v>-0.32460921254297559</v>
      </c>
      <c r="S119" s="55">
        <f t="shared" si="36"/>
        <v>-0.34349714039527146</v>
      </c>
      <c r="T119" s="55">
        <f t="shared" si="36"/>
        <v>-0.36276282680461353</v>
      </c>
      <c r="U119" s="55">
        <f t="shared" si="36"/>
        <v>-0.38241382694214232</v>
      </c>
      <c r="V119" s="55">
        <f t="shared" si="36"/>
        <v>-0.4024578470824216</v>
      </c>
      <c r="W119" s="55">
        <f t="shared" si="36"/>
        <v>-0.42290274762550667</v>
      </c>
      <c r="X119" s="55">
        <f t="shared" si="36"/>
        <v>-0.4437565461794532</v>
      </c>
      <c r="Y119" s="55">
        <f t="shared" si="36"/>
        <v>-0.46502742070447889</v>
      </c>
      <c r="Z119" s="55">
        <f t="shared" si="36"/>
        <v>-0.48672371272000498</v>
      </c>
      <c r="AA119" s="55">
        <f t="shared" si="36"/>
        <v>-0.50885393057584138</v>
      </c>
      <c r="AB119" s="55">
        <f t="shared" si="36"/>
        <v>-0.53142675278879492</v>
      </c>
      <c r="AC119" s="55">
        <f t="shared" si="36"/>
        <v>-0.55445103144600727</v>
      </c>
      <c r="AD119" s="376">
        <f t="shared" si="25"/>
        <v>-7.5141320713402253</v>
      </c>
    </row>
    <row r="120" spans="1:30" s="112" customFormat="1" ht="12">
      <c r="A120" s="58"/>
      <c r="B120" s="58"/>
      <c r="C120" s="49" t="s">
        <v>547</v>
      </c>
      <c r="D120" s="328">
        <f>-'Mode Operating Assumptions'!$C$174</f>
        <v>-3285</v>
      </c>
      <c r="E120" s="236"/>
      <c r="F120" s="275">
        <f>F119*$D120</f>
        <v>0</v>
      </c>
      <c r="G120" s="275">
        <f t="shared" ref="G120:AC120" si="37">G119*$D120</f>
        <v>0</v>
      </c>
      <c r="H120" s="275">
        <f t="shared" si="37"/>
        <v>509.00022163398609</v>
      </c>
      <c r="I120" s="275">
        <f t="shared" si="37"/>
        <v>559.90024379738463</v>
      </c>
      <c r="J120" s="275">
        <f t="shared" si="37"/>
        <v>611.81826640405131</v>
      </c>
      <c r="K120" s="275">
        <f t="shared" si="37"/>
        <v>664.77464946285124</v>
      </c>
      <c r="L120" s="275">
        <f t="shared" si="37"/>
        <v>718.79016018282709</v>
      </c>
      <c r="M120" s="275">
        <f t="shared" si="37"/>
        <v>773.88598111720273</v>
      </c>
      <c r="N120" s="275">
        <f t="shared" si="37"/>
        <v>830.08371847026626</v>
      </c>
      <c r="O120" s="275">
        <f t="shared" si="37"/>
        <v>887.40541057038979</v>
      </c>
      <c r="P120" s="275">
        <f t="shared" si="37"/>
        <v>945.87353651251703</v>
      </c>
      <c r="Q120" s="275">
        <f t="shared" si="37"/>
        <v>1005.5110249734862</v>
      </c>
      <c r="R120" s="275">
        <f t="shared" si="37"/>
        <v>1066.3412632036748</v>
      </c>
      <c r="S120" s="275">
        <f t="shared" si="37"/>
        <v>1128.3881061984669</v>
      </c>
      <c r="T120" s="275">
        <f t="shared" si="37"/>
        <v>1191.6758860531554</v>
      </c>
      <c r="U120" s="275">
        <f t="shared" si="37"/>
        <v>1256.2294215049376</v>
      </c>
      <c r="V120" s="275">
        <f t="shared" si="37"/>
        <v>1322.074027665755</v>
      </c>
      <c r="W120" s="275">
        <f t="shared" si="37"/>
        <v>1389.2355259497895</v>
      </c>
      <c r="X120" s="275">
        <f t="shared" si="37"/>
        <v>1457.7402541995039</v>
      </c>
      <c r="Y120" s="275">
        <f t="shared" si="37"/>
        <v>1527.6150770142131</v>
      </c>
      <c r="Z120" s="275">
        <f t="shared" si="37"/>
        <v>1598.8873962852163</v>
      </c>
      <c r="AA120" s="275">
        <f t="shared" si="37"/>
        <v>1671.5851619416389</v>
      </c>
      <c r="AB120" s="275">
        <f t="shared" si="37"/>
        <v>1745.7368829111913</v>
      </c>
      <c r="AC120" s="275">
        <f t="shared" si="37"/>
        <v>1821.3716383001338</v>
      </c>
      <c r="AD120" s="369">
        <f t="shared" si="25"/>
        <v>24683.923854352637</v>
      </c>
    </row>
    <row r="121" spans="1:30" s="112" customFormat="1" ht="12">
      <c r="A121" s="58"/>
      <c r="B121" s="58"/>
      <c r="D121" s="328"/>
      <c r="E121" s="236"/>
      <c r="F121" s="275"/>
      <c r="G121" s="275"/>
      <c r="H121" s="275"/>
      <c r="I121" s="275"/>
      <c r="J121" s="275"/>
      <c r="K121" s="275"/>
      <c r="L121" s="275"/>
      <c r="M121" s="275"/>
      <c r="N121" s="275"/>
      <c r="O121" s="275"/>
      <c r="P121" s="275"/>
      <c r="Q121" s="275"/>
      <c r="R121" s="275"/>
      <c r="S121" s="275"/>
      <c r="T121" s="275"/>
      <c r="U121" s="275"/>
      <c r="V121" s="275"/>
      <c r="W121" s="275"/>
      <c r="X121" s="275"/>
      <c r="Y121" s="275"/>
      <c r="Z121" s="275"/>
      <c r="AA121" s="275"/>
      <c r="AB121" s="275"/>
      <c r="AC121" s="275"/>
      <c r="AD121" s="369">
        <f t="shared" si="25"/>
        <v>0</v>
      </c>
    </row>
    <row r="122" spans="1:30" s="5" customFormat="1" ht="12">
      <c r="A122" s="58"/>
      <c r="B122" s="58"/>
      <c r="C122" s="315" t="s">
        <v>537</v>
      </c>
      <c r="D122" s="231"/>
      <c r="E122" s="239"/>
      <c r="F122" s="83">
        <f t="shared" ref="F122:AC122" si="38">F104+F106+F116+F118+F120</f>
        <v>0</v>
      </c>
      <c r="G122" s="83">
        <f t="shared" si="38"/>
        <v>0</v>
      </c>
      <c r="H122" s="83">
        <f t="shared" si="38"/>
        <v>11712.705147877819</v>
      </c>
      <c r="I122" s="83">
        <f t="shared" si="38"/>
        <v>12883.975662665604</v>
      </c>
      <c r="J122" s="83">
        <f t="shared" si="38"/>
        <v>14078.671587749128</v>
      </c>
      <c r="K122" s="83">
        <f t="shared" si="38"/>
        <v>15297.261431334347</v>
      </c>
      <c r="L122" s="83">
        <f t="shared" si="38"/>
        <v>16540.223071791261</v>
      </c>
      <c r="M122" s="83">
        <f t="shared" si="38"/>
        <v>17808.043945057314</v>
      </c>
      <c r="N122" s="83">
        <f t="shared" si="38"/>
        <v>19101.221235788693</v>
      </c>
      <c r="O122" s="83">
        <f t="shared" si="38"/>
        <v>20420.262072334681</v>
      </c>
      <c r="P122" s="83">
        <f t="shared" si="38"/>
        <v>21765.683725611616</v>
      </c>
      <c r="Q122" s="83">
        <f t="shared" si="38"/>
        <v>23138.013811954072</v>
      </c>
      <c r="R122" s="83">
        <f t="shared" si="38"/>
        <v>24537.79050002338</v>
      </c>
      <c r="S122" s="83">
        <f t="shared" si="38"/>
        <v>25965.562721854058</v>
      </c>
      <c r="T122" s="83">
        <f t="shared" si="38"/>
        <v>27421.89038812137</v>
      </c>
      <c r="U122" s="83">
        <f t="shared" si="38"/>
        <v>28907.344607714036</v>
      </c>
      <c r="V122" s="83">
        <f t="shared" si="38"/>
        <v>30422.507911698533</v>
      </c>
      <c r="W122" s="83">
        <f t="shared" si="38"/>
        <v>31967.97448176274</v>
      </c>
      <c r="X122" s="83">
        <f t="shared" si="38"/>
        <v>33544.350383228208</v>
      </c>
      <c r="Y122" s="83">
        <f t="shared" si="38"/>
        <v>35152.253802723004</v>
      </c>
      <c r="Z122" s="83">
        <f t="shared" si="38"/>
        <v>36792.315290607708</v>
      </c>
      <c r="AA122" s="83">
        <f t="shared" si="38"/>
        <v>38465.178008250048</v>
      </c>
      <c r="AB122" s="83">
        <f t="shared" si="38"/>
        <v>40171.497980245309</v>
      </c>
      <c r="AC122" s="83">
        <f t="shared" si="38"/>
        <v>41911.944351680431</v>
      </c>
      <c r="AD122" s="378">
        <f t="shared" si="25"/>
        <v>568006.67212007334</v>
      </c>
    </row>
    <row r="123" spans="1:30" s="112" customFormat="1" ht="12">
      <c r="A123" s="109"/>
      <c r="B123" s="109"/>
      <c r="C123" s="110"/>
      <c r="D123" s="227"/>
      <c r="E123" s="235"/>
      <c r="F123" s="111"/>
      <c r="G123" s="111"/>
      <c r="H123" s="111"/>
      <c r="I123" s="111"/>
      <c r="J123" s="111"/>
      <c r="K123" s="111"/>
      <c r="L123" s="111"/>
      <c r="M123" s="111"/>
      <c r="N123" s="111"/>
      <c r="O123" s="111"/>
      <c r="P123" s="111"/>
      <c r="Q123" s="111"/>
      <c r="R123" s="111"/>
      <c r="S123" s="111"/>
      <c r="T123" s="111"/>
      <c r="U123" s="111"/>
      <c r="V123" s="111"/>
      <c r="W123" s="111"/>
      <c r="X123" s="111"/>
      <c r="Y123" s="111"/>
      <c r="Z123" s="111"/>
      <c r="AC123" s="282"/>
    </row>
    <row r="124" spans="1:30" s="94" customFormat="1" ht="12">
      <c r="A124" s="94" t="s">
        <v>363</v>
      </c>
      <c r="D124" s="230"/>
      <c r="E124" s="241"/>
      <c r="H124" s="93"/>
      <c r="I124" s="93"/>
      <c r="J124" s="93"/>
      <c r="K124" s="93"/>
      <c r="L124" s="93"/>
      <c r="M124" s="93"/>
      <c r="N124" s="93"/>
      <c r="O124" s="93"/>
      <c r="P124" s="93"/>
      <c r="Q124" s="93"/>
      <c r="R124" s="93"/>
      <c r="S124" s="93"/>
      <c r="T124" s="93"/>
      <c r="U124" s="93"/>
      <c r="V124" s="93"/>
      <c r="W124" s="93"/>
      <c r="X124" s="93"/>
      <c r="Y124" s="93"/>
      <c r="AC124" s="293"/>
    </row>
    <row r="125" spans="1:30" s="94" customFormat="1" ht="12">
      <c r="D125" s="230"/>
      <c r="E125" s="241"/>
      <c r="H125" s="108"/>
      <c r="I125" s="108"/>
      <c r="J125" s="108"/>
      <c r="K125" s="108"/>
      <c r="L125" s="108"/>
      <c r="M125" s="108"/>
      <c r="N125" s="108"/>
      <c r="O125" s="108"/>
      <c r="P125" s="108"/>
      <c r="Q125" s="108"/>
      <c r="R125" s="108"/>
      <c r="S125" s="108"/>
      <c r="T125" s="108"/>
      <c r="U125" s="108"/>
      <c r="V125" s="108"/>
      <c r="W125" s="108"/>
      <c r="X125" s="108"/>
      <c r="Y125" s="108"/>
      <c r="AC125" s="293"/>
    </row>
    <row r="126" spans="1:30" s="112" customFormat="1" ht="12">
      <c r="A126" s="92"/>
      <c r="B126" s="92"/>
      <c r="C126" s="311" t="s">
        <v>519</v>
      </c>
      <c r="D126" s="230"/>
      <c r="E126" s="310">
        <f>SUM(F126:AC126)</f>
        <v>2463955.0880116117</v>
      </c>
      <c r="F126" s="275">
        <f t="shared" ref="F126:AC126" si="39">F5+F6+F48+F55+F68+F74+F77+F92+F97+F122</f>
        <v>0</v>
      </c>
      <c r="G126" s="275">
        <f t="shared" si="39"/>
        <v>-275620</v>
      </c>
      <c r="H126" s="275">
        <f t="shared" si="39"/>
        <v>51445.601465245127</v>
      </c>
      <c r="I126" s="275">
        <f t="shared" si="39"/>
        <v>64882.771046365226</v>
      </c>
      <c r="J126" s="275">
        <f t="shared" si="39"/>
        <v>70309.880914345922</v>
      </c>
      <c r="K126" s="275">
        <f t="shared" si="39"/>
        <v>75707.29346280545</v>
      </c>
      <c r="L126" s="275">
        <f t="shared" si="39"/>
        <v>81075.200376578781</v>
      </c>
      <c r="M126" s="275">
        <f t="shared" si="39"/>
        <v>86413.633821084339</v>
      </c>
      <c r="N126" s="275">
        <f t="shared" si="39"/>
        <v>92111.985265158044</v>
      </c>
      <c r="O126" s="275">
        <f t="shared" si="39"/>
        <v>97817.947431657958</v>
      </c>
      <c r="P126" s="275">
        <f t="shared" si="39"/>
        <v>104427.91287725723</v>
      </c>
      <c r="Q126" s="275">
        <f t="shared" si="39"/>
        <v>111156.55324143084</v>
      </c>
      <c r="R126" s="275">
        <f t="shared" si="39"/>
        <v>118006.14631501675</v>
      </c>
      <c r="S126" s="275">
        <f t="shared" si="39"/>
        <v>124979.01417100696</v>
      </c>
      <c r="T126" s="275">
        <f t="shared" si="39"/>
        <v>132077.52404595967</v>
      </c>
      <c r="U126" s="275">
        <f t="shared" si="39"/>
        <v>139304.08923954287</v>
      </c>
      <c r="V126" s="275">
        <f t="shared" si="39"/>
        <v>146661.17003260012</v>
      </c>
      <c r="W126" s="275">
        <f t="shared" si="39"/>
        <v>154151.27462413462</v>
      </c>
      <c r="X126" s="275">
        <f t="shared" si="39"/>
        <v>161776.96008761937</v>
      </c>
      <c r="Y126" s="275">
        <f t="shared" si="39"/>
        <v>169540.83334704948</v>
      </c>
      <c r="Z126" s="275">
        <f t="shared" si="39"/>
        <v>177821.41085747263</v>
      </c>
      <c r="AA126" s="275">
        <f t="shared" si="39"/>
        <v>186279.72244428043</v>
      </c>
      <c r="AB126" s="275">
        <f t="shared" si="39"/>
        <v>194919.55600946487</v>
      </c>
      <c r="AC126" s="275">
        <f t="shared" si="39"/>
        <v>198708.60693553471</v>
      </c>
    </row>
    <row r="127" spans="1:30" s="94" customFormat="1" ht="12">
      <c r="A127" s="92"/>
      <c r="B127" s="92"/>
      <c r="C127" s="70" t="s">
        <v>182</v>
      </c>
      <c r="D127" s="230"/>
      <c r="E127" s="237"/>
      <c r="F127" s="108">
        <f>1/1.03</f>
        <v>0.970873786407767</v>
      </c>
      <c r="G127" s="108">
        <f>F127/1.03</f>
        <v>0.94259590913375435</v>
      </c>
      <c r="H127" s="108">
        <f t="shared" ref="H127:AC127" si="40">G127/1.03</f>
        <v>0.9151416593531595</v>
      </c>
      <c r="I127" s="108">
        <f t="shared" si="40"/>
        <v>0.88848704791568878</v>
      </c>
      <c r="J127" s="108">
        <f t="shared" si="40"/>
        <v>0.86260878438416388</v>
      </c>
      <c r="K127" s="108">
        <f t="shared" si="40"/>
        <v>0.83748425668365423</v>
      </c>
      <c r="L127" s="108">
        <f t="shared" si="40"/>
        <v>0.81309151134335356</v>
      </c>
      <c r="M127" s="108">
        <f t="shared" si="40"/>
        <v>0.7894092343139355</v>
      </c>
      <c r="N127" s="108">
        <f t="shared" si="40"/>
        <v>0.76641673234362673</v>
      </c>
      <c r="O127" s="108">
        <f t="shared" si="40"/>
        <v>0.74409391489672494</v>
      </c>
      <c r="P127" s="108">
        <f t="shared" si="40"/>
        <v>0.7224212765987621</v>
      </c>
      <c r="Q127" s="108">
        <f t="shared" si="40"/>
        <v>0.70137988019297293</v>
      </c>
      <c r="R127" s="108">
        <f t="shared" si="40"/>
        <v>0.68095133999317758</v>
      </c>
      <c r="S127" s="108">
        <f t="shared" si="40"/>
        <v>0.66111780581861901</v>
      </c>
      <c r="T127" s="108">
        <f t="shared" si="40"/>
        <v>0.64186194739671742</v>
      </c>
      <c r="U127" s="108">
        <f t="shared" si="40"/>
        <v>0.62316693922011401</v>
      </c>
      <c r="V127" s="108">
        <f t="shared" si="40"/>
        <v>0.60501644584477088</v>
      </c>
      <c r="W127" s="108">
        <f t="shared" si="40"/>
        <v>0.58739460761628237</v>
      </c>
      <c r="X127" s="108">
        <f t="shared" si="40"/>
        <v>0.57028602681192464</v>
      </c>
      <c r="Y127" s="108">
        <f t="shared" si="40"/>
        <v>0.55367575418633463</v>
      </c>
      <c r="Z127" s="108">
        <f t="shared" si="40"/>
        <v>0.53754927590906276</v>
      </c>
      <c r="AA127" s="108">
        <f t="shared" si="40"/>
        <v>0.52189250088258521</v>
      </c>
      <c r="AB127" s="108">
        <f t="shared" si="40"/>
        <v>0.50669174842969433</v>
      </c>
      <c r="AC127" s="294">
        <f t="shared" si="40"/>
        <v>0.49193373633950904</v>
      </c>
    </row>
    <row r="128" spans="1:30" s="112" customFormat="1" ht="12">
      <c r="A128" s="109"/>
      <c r="B128" s="109"/>
      <c r="C128" s="110" t="s">
        <v>180</v>
      </c>
      <c r="D128" s="227"/>
      <c r="E128" s="235">
        <f>SUM(F128:AC128)</f>
        <v>1489204.6472819431</v>
      </c>
      <c r="F128" s="111">
        <f>F126*F127</f>
        <v>0</v>
      </c>
      <c r="G128" s="111">
        <f t="shared" ref="G128:AC128" si="41">G126*G127</f>
        <v>-259798.28447544537</v>
      </c>
      <c r="H128" s="111">
        <f t="shared" si="41"/>
        <v>47080.01309132576</v>
      </c>
      <c r="I128" s="111">
        <f t="shared" si="41"/>
        <v>57647.501707574564</v>
      </c>
      <c r="J128" s="111">
        <f t="shared" si="41"/>
        <v>60649.920905719264</v>
      </c>
      <c r="K128" s="111">
        <f t="shared" si="41"/>
        <v>63403.6663912289</v>
      </c>
      <c r="L128" s="111">
        <f t="shared" si="41"/>
        <v>65921.557206657671</v>
      </c>
      <c r="M128" s="111">
        <f t="shared" si="41"/>
        <v>68215.720508986982</v>
      </c>
      <c r="N128" s="111">
        <f t="shared" si="41"/>
        <v>70596.166756606719</v>
      </c>
      <c r="O128" s="111">
        <f t="shared" si="41"/>
        <v>72785.739451584406</v>
      </c>
      <c r="P128" s="111">
        <f t="shared" si="41"/>
        <v>75440.946133332473</v>
      </c>
      <c r="Q128" s="111">
        <f t="shared" si="41"/>
        <v>77962.969995138585</v>
      </c>
      <c r="R128" s="111">
        <f t="shared" si="41"/>
        <v>80356.443460641633</v>
      </c>
      <c r="S128" s="111">
        <f t="shared" si="41"/>
        <v>82625.851622110218</v>
      </c>
      <c r="T128" s="111">
        <f t="shared" si="41"/>
        <v>84775.53679147645</v>
      </c>
      <c r="U128" s="111">
        <f t="shared" si="41"/>
        <v>86809.702912251552</v>
      </c>
      <c r="V128" s="111">
        <f t="shared" si="41"/>
        <v>88732.419836559347</v>
      </c>
      <c r="W128" s="111">
        <f t="shared" si="41"/>
        <v>90547.627471393338</v>
      </c>
      <c r="X128" s="111">
        <f t="shared" si="41"/>
        <v>92259.139798079763</v>
      </c>
      <c r="Y128" s="111">
        <f t="shared" si="41"/>
        <v>93870.648768807296</v>
      </c>
      <c r="Z128" s="111">
        <f t="shared" si="41"/>
        <v>95587.770647562356</v>
      </c>
      <c r="AA128" s="111">
        <f t="shared" si="41"/>
        <v>97217.990210159347</v>
      </c>
      <c r="AB128" s="111">
        <f t="shared" si="41"/>
        <v>98764.130637575494</v>
      </c>
      <c r="AC128" s="111">
        <f t="shared" si="41"/>
        <v>97751.467452616474</v>
      </c>
    </row>
    <row r="129" spans="1:29" s="112" customFormat="1" ht="12">
      <c r="A129" s="92"/>
      <c r="B129" s="92"/>
      <c r="C129" s="70" t="s">
        <v>183</v>
      </c>
      <c r="D129" s="230"/>
      <c r="E129" s="237"/>
      <c r="F129" s="108">
        <f>1/1.07</f>
        <v>0.93457943925233644</v>
      </c>
      <c r="G129" s="108">
        <f>F129/1.07</f>
        <v>0.87343872827321156</v>
      </c>
      <c r="H129" s="108">
        <f t="shared" ref="H129:AC129" si="42">G129/1.07</f>
        <v>0.81629787689085187</v>
      </c>
      <c r="I129" s="108">
        <f t="shared" si="42"/>
        <v>0.76289521204752508</v>
      </c>
      <c r="J129" s="108">
        <f t="shared" si="42"/>
        <v>0.71298617948366827</v>
      </c>
      <c r="K129" s="108">
        <f t="shared" si="42"/>
        <v>0.66634222381651231</v>
      </c>
      <c r="L129" s="108">
        <f t="shared" si="42"/>
        <v>0.62274974188459087</v>
      </c>
      <c r="M129" s="108">
        <f t="shared" si="42"/>
        <v>0.58200910456503818</v>
      </c>
      <c r="N129" s="108">
        <f t="shared" si="42"/>
        <v>0.54393374258414784</v>
      </c>
      <c r="O129" s="108">
        <f t="shared" si="42"/>
        <v>0.50834929213471758</v>
      </c>
      <c r="P129" s="108">
        <f t="shared" si="42"/>
        <v>0.4750927963875865</v>
      </c>
      <c r="Q129" s="108">
        <f t="shared" si="42"/>
        <v>0.444011959240735</v>
      </c>
      <c r="R129" s="108">
        <f t="shared" si="42"/>
        <v>0.41496444788853737</v>
      </c>
      <c r="S129" s="108">
        <f t="shared" si="42"/>
        <v>0.38781724101732462</v>
      </c>
      <c r="T129" s="108">
        <f t="shared" si="42"/>
        <v>0.36244601964235945</v>
      </c>
      <c r="U129" s="108">
        <f t="shared" si="42"/>
        <v>0.33873459779659759</v>
      </c>
      <c r="V129" s="108">
        <f t="shared" si="42"/>
        <v>0.3165743904641099</v>
      </c>
      <c r="W129" s="108">
        <f t="shared" si="42"/>
        <v>0.29586391632159803</v>
      </c>
      <c r="X129" s="108">
        <f t="shared" si="42"/>
        <v>0.27650833301083927</v>
      </c>
      <c r="Y129" s="108">
        <f t="shared" si="42"/>
        <v>0.25841900281386848</v>
      </c>
      <c r="Z129" s="108">
        <f t="shared" si="42"/>
        <v>0.24151308674193314</v>
      </c>
      <c r="AA129" s="108">
        <f t="shared" si="42"/>
        <v>0.22571316517937676</v>
      </c>
      <c r="AB129" s="108">
        <f t="shared" si="42"/>
        <v>0.21094688334521192</v>
      </c>
      <c r="AC129" s="294">
        <f t="shared" si="42"/>
        <v>0.19714661994879618</v>
      </c>
    </row>
    <row r="130" spans="1:29" s="112" customFormat="1" ht="12">
      <c r="A130" s="109"/>
      <c r="B130" s="109"/>
      <c r="C130" s="110" t="s">
        <v>181</v>
      </c>
      <c r="D130" s="227"/>
      <c r="E130" s="235">
        <f>SUM(F130:AC130)</f>
        <v>789274.88604062551</v>
      </c>
      <c r="F130" s="111">
        <f>F126*F129</f>
        <v>0</v>
      </c>
      <c r="G130" s="111">
        <f t="shared" ref="G130:AC130" si="43">G126*G129</f>
        <v>-240737.18228666257</v>
      </c>
      <c r="H130" s="111">
        <f t="shared" si="43"/>
        <v>41994.935251452494</v>
      </c>
      <c r="I130" s="111">
        <f t="shared" si="43"/>
        <v>49498.755375647823</v>
      </c>
      <c r="J130" s="111">
        <f t="shared" si="43"/>
        <v>50129.973373071181</v>
      </c>
      <c r="K130" s="111">
        <f t="shared" si="43"/>
        <v>50446.966285135088</v>
      </c>
      <c r="L130" s="111">
        <f t="shared" si="43"/>
        <v>50489.560107755919</v>
      </c>
      <c r="M130" s="111">
        <f t="shared" si="43"/>
        <v>50293.521642420397</v>
      </c>
      <c r="N130" s="111">
        <f t="shared" si="43"/>
        <v>50102.816882133295</v>
      </c>
      <c r="O130" s="111">
        <f t="shared" si="43"/>
        <v>49725.684334954341</v>
      </c>
      <c r="P130" s="111">
        <f t="shared" si="43"/>
        <v>49612.949149775392</v>
      </c>
      <c r="Q130" s="111">
        <f t="shared" si="43"/>
        <v>49354.838987174779</v>
      </c>
      <c r="R130" s="111">
        <f t="shared" si="43"/>
        <v>48968.355353064886</v>
      </c>
      <c r="S130" s="111">
        <f t="shared" si="43"/>
        <v>48469.016460865038</v>
      </c>
      <c r="T130" s="111">
        <f t="shared" si="43"/>
        <v>47870.972874676103</v>
      </c>
      <c r="U130" s="111">
        <f t="shared" si="43"/>
        <v>47187.114639977888</v>
      </c>
      <c r="V130" s="111">
        <f t="shared" si="43"/>
        <v>46429.170507823561</v>
      </c>
      <c r="W130" s="111">
        <f t="shared" si="43"/>
        <v>45607.799816262639</v>
      </c>
      <c r="X130" s="111">
        <f t="shared" si="43"/>
        <v>44732.677553388712</v>
      </c>
      <c r="Y130" s="111">
        <f t="shared" si="43"/>
        <v>43812.573089776786</v>
      </c>
      <c r="Z130" s="111">
        <f t="shared" si="43"/>
        <v>42946.197824993716</v>
      </c>
      <c r="AA130" s="111">
        <f t="shared" si="43"/>
        <v>42045.785761634324</v>
      </c>
      <c r="AB130" s="111">
        <f t="shared" si="43"/>
        <v>41117.672843229084</v>
      </c>
      <c r="AC130" s="111">
        <f t="shared" si="43"/>
        <v>39174.730212074588</v>
      </c>
    </row>
    <row r="131" spans="1:29" s="53" customFormat="1" ht="12">
      <c r="A131" s="109"/>
      <c r="B131" s="109"/>
      <c r="C131" s="110"/>
      <c r="D131" s="227"/>
      <c r="E131" s="235"/>
      <c r="F131" s="111"/>
      <c r="G131" s="111"/>
      <c r="AC131" s="283"/>
    </row>
    <row r="132" spans="1:29" s="53" customFormat="1" ht="12">
      <c r="A132" s="45"/>
      <c r="B132" s="45"/>
      <c r="C132" s="302" t="s">
        <v>187</v>
      </c>
      <c r="D132" s="232"/>
      <c r="E132" s="323">
        <f>IRR(F126:AC126)</f>
        <v>0.27980809566735165</v>
      </c>
      <c r="F132" s="45"/>
      <c r="G132" s="57"/>
      <c r="AC132" s="283"/>
    </row>
    <row r="133" spans="1:29" s="115" customFormat="1" ht="12">
      <c r="A133" s="113"/>
      <c r="B133" s="113"/>
      <c r="C133" s="117"/>
      <c r="D133" s="119"/>
      <c r="E133" s="113"/>
      <c r="F133" s="114"/>
      <c r="G133" s="114"/>
      <c r="H133" s="114"/>
      <c r="I133" s="114"/>
      <c r="J133" s="114"/>
      <c r="K133" s="114"/>
      <c r="L133" s="114"/>
      <c r="M133" s="114"/>
      <c r="N133" s="114"/>
      <c r="O133" s="114"/>
      <c r="P133" s="114"/>
      <c r="Q133" s="114"/>
      <c r="R133" s="114"/>
      <c r="S133" s="114"/>
      <c r="T133" s="114"/>
      <c r="U133" s="114"/>
      <c r="V133" s="114"/>
      <c r="W133" s="114"/>
      <c r="X133" s="114"/>
      <c r="Y133" s="114"/>
      <c r="AC133" s="295"/>
    </row>
    <row r="134" spans="1:29" s="115" customFormat="1" ht="12">
      <c r="A134" s="113"/>
      <c r="B134" s="113"/>
      <c r="C134" s="120"/>
      <c r="D134" s="119"/>
      <c r="E134" s="113"/>
      <c r="F134" s="113"/>
      <c r="G134" s="116"/>
      <c r="AC134" s="295"/>
    </row>
    <row r="135" spans="1:29" s="115" customFormat="1" ht="12">
      <c r="A135" s="113"/>
      <c r="B135" s="113"/>
      <c r="C135" s="117"/>
      <c r="D135" s="121"/>
      <c r="E135" s="122"/>
      <c r="F135" s="122"/>
      <c r="G135" s="118"/>
      <c r="H135" s="118"/>
      <c r="I135" s="118"/>
      <c r="J135" s="118"/>
      <c r="K135" s="118"/>
      <c r="L135" s="118"/>
      <c r="M135" s="118"/>
      <c r="N135" s="118"/>
      <c r="O135" s="118"/>
      <c r="P135" s="118"/>
      <c r="Q135" s="118"/>
      <c r="R135" s="118"/>
      <c r="S135" s="118"/>
      <c r="T135" s="118"/>
      <c r="U135" s="118"/>
      <c r="V135" s="118"/>
      <c r="W135" s="118"/>
      <c r="X135" s="118"/>
      <c r="Y135" s="118"/>
      <c r="AC135" s="295"/>
    </row>
    <row r="136" spans="1:29" s="115" customFormat="1" ht="12">
      <c r="A136" s="113"/>
      <c r="B136" s="113"/>
      <c r="D136" s="123"/>
      <c r="E136" s="122"/>
      <c r="F136" s="122"/>
      <c r="G136" s="118"/>
      <c r="H136" s="118"/>
      <c r="I136" s="118"/>
      <c r="J136" s="118"/>
      <c r="K136" s="118"/>
      <c r="L136" s="118"/>
      <c r="M136" s="118"/>
      <c r="N136" s="118"/>
      <c r="O136" s="118"/>
      <c r="P136" s="118"/>
      <c r="Q136" s="118"/>
      <c r="R136" s="118"/>
      <c r="S136" s="118"/>
      <c r="T136" s="118"/>
      <c r="U136" s="118"/>
      <c r="V136" s="118"/>
      <c r="W136" s="118"/>
      <c r="X136" s="118"/>
      <c r="Y136" s="118"/>
      <c r="AC136" s="295"/>
    </row>
    <row r="137" spans="1:29" s="115" customFormat="1" ht="12">
      <c r="A137" s="113"/>
      <c r="B137" s="113"/>
      <c r="D137" s="123"/>
      <c r="E137" s="122"/>
      <c r="F137" s="122"/>
      <c r="G137" s="118"/>
      <c r="H137" s="118"/>
      <c r="I137" s="118"/>
      <c r="J137" s="118"/>
      <c r="K137" s="118"/>
      <c r="L137" s="118"/>
      <c r="M137" s="118"/>
      <c r="N137" s="118"/>
      <c r="O137" s="118"/>
      <c r="P137" s="118"/>
      <c r="Q137" s="118"/>
      <c r="R137" s="118"/>
      <c r="S137" s="118"/>
      <c r="T137" s="118"/>
      <c r="U137" s="118"/>
      <c r="V137" s="118"/>
      <c r="W137" s="118"/>
      <c r="X137" s="118"/>
      <c r="Y137" s="118"/>
      <c r="AC137" s="295"/>
    </row>
    <row r="138" spans="1:29" s="115" customFormat="1" ht="15.75">
      <c r="A138" s="113"/>
      <c r="B138" s="113"/>
      <c r="C138" s="425" t="s">
        <v>1</v>
      </c>
      <c r="D138" s="442">
        <f>SUM(D139:D142)</f>
        <v>1011.7819436402717</v>
      </c>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row>
    <row r="139" spans="1:29" s="115" customFormat="1" ht="15.75">
      <c r="A139" s="113"/>
      <c r="B139" s="113"/>
      <c r="C139" s="427" t="s">
        <v>199</v>
      </c>
      <c r="D139" s="440">
        <f>-SUM(F139:AC139)/1000</f>
        <v>283.60000000000002</v>
      </c>
      <c r="E139" s="25"/>
      <c r="F139" s="446">
        <f>F6</f>
        <v>0</v>
      </c>
      <c r="G139" s="446">
        <f t="shared" ref="G139:AC139" si="44">G6</f>
        <v>-275620</v>
      </c>
      <c r="H139" s="446">
        <f t="shared" si="44"/>
        <v>-7980</v>
      </c>
      <c r="I139" s="446">
        <f t="shared" si="44"/>
        <v>0</v>
      </c>
      <c r="J139" s="446">
        <f t="shared" si="44"/>
        <v>0</v>
      </c>
      <c r="K139" s="446">
        <f t="shared" si="44"/>
        <v>0</v>
      </c>
      <c r="L139" s="446">
        <f t="shared" si="44"/>
        <v>0</v>
      </c>
      <c r="M139" s="446">
        <f t="shared" si="44"/>
        <v>0</v>
      </c>
      <c r="N139" s="446">
        <f t="shared" si="44"/>
        <v>0</v>
      </c>
      <c r="O139" s="446">
        <f t="shared" si="44"/>
        <v>0</v>
      </c>
      <c r="P139" s="446">
        <f t="shared" si="44"/>
        <v>0</v>
      </c>
      <c r="Q139" s="446">
        <f t="shared" si="44"/>
        <v>0</v>
      </c>
      <c r="R139" s="446">
        <f t="shared" si="44"/>
        <v>0</v>
      </c>
      <c r="S139" s="446">
        <f t="shared" si="44"/>
        <v>0</v>
      </c>
      <c r="T139" s="446">
        <f t="shared" si="44"/>
        <v>0</v>
      </c>
      <c r="U139" s="446">
        <f t="shared" si="44"/>
        <v>0</v>
      </c>
      <c r="V139" s="446">
        <f t="shared" si="44"/>
        <v>0</v>
      </c>
      <c r="W139" s="446">
        <f t="shared" si="44"/>
        <v>0</v>
      </c>
      <c r="X139" s="446">
        <f t="shared" si="44"/>
        <v>0</v>
      </c>
      <c r="Y139" s="446">
        <f t="shared" si="44"/>
        <v>0</v>
      </c>
      <c r="Z139" s="446">
        <f t="shared" si="44"/>
        <v>0</v>
      </c>
      <c r="AA139" s="446">
        <f t="shared" si="44"/>
        <v>0</v>
      </c>
      <c r="AB139" s="446">
        <f t="shared" si="44"/>
        <v>0</v>
      </c>
      <c r="AC139" s="446">
        <f t="shared" si="44"/>
        <v>0</v>
      </c>
    </row>
    <row r="140" spans="1:29" s="115" customFormat="1" ht="15.75">
      <c r="A140" s="113"/>
      <c r="B140" s="113"/>
      <c r="C140" s="427" t="s">
        <v>200</v>
      </c>
      <c r="D140" s="440">
        <f>-SUM(F140:AC140)/1000</f>
        <v>99</v>
      </c>
      <c r="E140" s="42"/>
      <c r="F140" s="446">
        <f>F5</f>
        <v>0</v>
      </c>
      <c r="G140" s="446">
        <f t="shared" ref="G140:AC140" si="45">G5</f>
        <v>0</v>
      </c>
      <c r="H140" s="446">
        <f t="shared" si="45"/>
        <v>-4500</v>
      </c>
      <c r="I140" s="446">
        <f t="shared" si="45"/>
        <v>-4500</v>
      </c>
      <c r="J140" s="446">
        <f t="shared" si="45"/>
        <v>-4500</v>
      </c>
      <c r="K140" s="446">
        <f t="shared" si="45"/>
        <v>-4500</v>
      </c>
      <c r="L140" s="446">
        <f t="shared" si="45"/>
        <v>-4500</v>
      </c>
      <c r="M140" s="446">
        <f t="shared" si="45"/>
        <v>-4500</v>
      </c>
      <c r="N140" s="446">
        <f t="shared" si="45"/>
        <v>-4500</v>
      </c>
      <c r="O140" s="446">
        <f t="shared" si="45"/>
        <v>-4500</v>
      </c>
      <c r="P140" s="446">
        <f t="shared" si="45"/>
        <v>-4500</v>
      </c>
      <c r="Q140" s="446">
        <f t="shared" si="45"/>
        <v>-4500</v>
      </c>
      <c r="R140" s="446">
        <f t="shared" si="45"/>
        <v>-4500</v>
      </c>
      <c r="S140" s="446">
        <f t="shared" si="45"/>
        <v>-4500</v>
      </c>
      <c r="T140" s="446">
        <f t="shared" si="45"/>
        <v>-4500</v>
      </c>
      <c r="U140" s="446">
        <f t="shared" si="45"/>
        <v>-4500</v>
      </c>
      <c r="V140" s="446">
        <f t="shared" si="45"/>
        <v>-4500</v>
      </c>
      <c r="W140" s="446">
        <f t="shared" si="45"/>
        <v>-4500</v>
      </c>
      <c r="X140" s="446">
        <f t="shared" si="45"/>
        <v>-4500</v>
      </c>
      <c r="Y140" s="446">
        <f t="shared" si="45"/>
        <v>-4500</v>
      </c>
      <c r="Z140" s="446">
        <f t="shared" si="45"/>
        <v>-4500</v>
      </c>
      <c r="AA140" s="446">
        <f t="shared" si="45"/>
        <v>-4500</v>
      </c>
      <c r="AB140" s="446">
        <f t="shared" si="45"/>
        <v>-4500</v>
      </c>
      <c r="AC140" s="446">
        <f t="shared" si="45"/>
        <v>-4500</v>
      </c>
    </row>
    <row r="141" spans="1:29" s="115" customFormat="1" ht="15.75">
      <c r="A141" s="113"/>
      <c r="B141" s="113"/>
      <c r="C141" s="428" t="s">
        <v>563</v>
      </c>
      <c r="D141" s="440">
        <f>-SUM(F141:AC141)/1000</f>
        <v>0</v>
      </c>
      <c r="E141" s="42"/>
      <c r="F141" s="446">
        <f>0</f>
        <v>0</v>
      </c>
      <c r="G141" s="446">
        <f>0</f>
        <v>0</v>
      </c>
      <c r="H141" s="446">
        <f>0</f>
        <v>0</v>
      </c>
      <c r="I141" s="446">
        <f>0</f>
        <v>0</v>
      </c>
      <c r="J141" s="446">
        <f>0</f>
        <v>0</v>
      </c>
      <c r="K141" s="446">
        <f>0</f>
        <v>0</v>
      </c>
      <c r="L141" s="446">
        <f>0</f>
        <v>0</v>
      </c>
      <c r="M141" s="446">
        <f>0</f>
        <v>0</v>
      </c>
      <c r="N141" s="446">
        <f>0</f>
        <v>0</v>
      </c>
      <c r="O141" s="446">
        <f>0</f>
        <v>0</v>
      </c>
      <c r="P141" s="446">
        <f>0</f>
        <v>0</v>
      </c>
      <c r="Q141" s="446">
        <f>0</f>
        <v>0</v>
      </c>
      <c r="R141" s="446">
        <f>0</f>
        <v>0</v>
      </c>
      <c r="S141" s="446">
        <f>0</f>
        <v>0</v>
      </c>
      <c r="T141" s="446">
        <f>0</f>
        <v>0</v>
      </c>
      <c r="U141" s="446">
        <f>0</f>
        <v>0</v>
      </c>
      <c r="V141" s="446">
        <f>0</f>
        <v>0</v>
      </c>
      <c r="W141" s="446">
        <f>0</f>
        <v>0</v>
      </c>
      <c r="X141" s="446">
        <f>0</f>
        <v>0</v>
      </c>
      <c r="Y141" s="446">
        <f>0</f>
        <v>0</v>
      </c>
      <c r="Z141" s="446">
        <f>0</f>
        <v>0</v>
      </c>
      <c r="AA141" s="446">
        <f>0</f>
        <v>0</v>
      </c>
      <c r="AB141" s="446">
        <f>0</f>
        <v>0</v>
      </c>
      <c r="AC141" s="446">
        <f>0</f>
        <v>0</v>
      </c>
    </row>
    <row r="142" spans="1:29" s="115" customFormat="1" ht="15.75">
      <c r="A142" s="113"/>
      <c r="B142" s="113"/>
      <c r="C142" s="427" t="s">
        <v>201</v>
      </c>
      <c r="D142" s="440">
        <f>-SUM(F142:AC142)/1000</f>
        <v>629.1819436402717</v>
      </c>
      <c r="E142" s="43"/>
      <c r="F142" s="446">
        <f>F104+F106</f>
        <v>0</v>
      </c>
      <c r="G142" s="446">
        <f t="shared" ref="G142:AC142" si="46">G104+G106</f>
        <v>0</v>
      </c>
      <c r="H142" s="446">
        <f t="shared" si="46"/>
        <v>-12974.183142463735</v>
      </c>
      <c r="I142" s="446">
        <f t="shared" si="46"/>
        <v>-14271.601456710107</v>
      </c>
      <c r="J142" s="446">
        <f t="shared" si="46"/>
        <v>-15594.968137241409</v>
      </c>
      <c r="K142" s="446">
        <f t="shared" si="46"/>
        <v>-16944.802151383334</v>
      </c>
      <c r="L142" s="446">
        <f t="shared" si="46"/>
        <v>-18321.632845808097</v>
      </c>
      <c r="M142" s="446">
        <f t="shared" si="46"/>
        <v>-19726.000154121364</v>
      </c>
      <c r="N142" s="446">
        <f t="shared" si="46"/>
        <v>-21158.454808600905</v>
      </c>
      <c r="O142" s="446">
        <f t="shared" si="46"/>
        <v>-22619.558556170006</v>
      </c>
      <c r="P142" s="446">
        <f t="shared" si="46"/>
        <v>-24109.88437869052</v>
      </c>
      <c r="Q142" s="446">
        <f t="shared" si="46"/>
        <v>-25630.01671766143</v>
      </c>
      <c r="R142" s="446">
        <f t="shared" si="46"/>
        <v>-27180.551703411755</v>
      </c>
      <c r="S142" s="446">
        <f t="shared" si="46"/>
        <v>-28762.097388877075</v>
      </c>
      <c r="T142" s="446">
        <f t="shared" si="46"/>
        <v>-30375.273988051733</v>
      </c>
      <c r="U142" s="446">
        <f t="shared" si="46"/>
        <v>-32020.714119209861</v>
      </c>
      <c r="V142" s="446">
        <f t="shared" si="46"/>
        <v>-33699.06305299115</v>
      </c>
      <c r="W142" s="446">
        <f t="shared" si="46"/>
        <v>-35410.978965448085</v>
      </c>
      <c r="X142" s="446">
        <f t="shared" si="46"/>
        <v>-37157.133196154144</v>
      </c>
      <c r="Y142" s="446">
        <f t="shared" si="46"/>
        <v>-38938.210511474332</v>
      </c>
      <c r="Z142" s="446">
        <f t="shared" si="46"/>
        <v>-40754.909373100912</v>
      </c>
      <c r="AA142" s="446">
        <f t="shared" si="46"/>
        <v>-42607.94221196002</v>
      </c>
      <c r="AB142" s="446">
        <f t="shared" si="46"/>
        <v>-44498.035707596333</v>
      </c>
      <c r="AC142" s="446">
        <f t="shared" si="46"/>
        <v>-46425.931073145366</v>
      </c>
    </row>
    <row r="143" spans="1:29" s="53" customFormat="1" ht="15.75">
      <c r="A143" s="45"/>
      <c r="B143" s="45"/>
      <c r="C143" s="426"/>
      <c r="D143" s="441"/>
      <c r="E143" s="25"/>
      <c r="F143" s="438">
        <f>SUM(F139:F142)</f>
        <v>0</v>
      </c>
      <c r="G143" s="438">
        <f t="shared" ref="G143:AC143" si="47">SUM(G139:G142)</f>
        <v>-275620</v>
      </c>
      <c r="H143" s="438">
        <f t="shared" si="47"/>
        <v>-25454.183142463735</v>
      </c>
      <c r="I143" s="438">
        <f t="shared" si="47"/>
        <v>-18771.601456710108</v>
      </c>
      <c r="J143" s="438">
        <f t="shared" si="47"/>
        <v>-20094.968137241409</v>
      </c>
      <c r="K143" s="438">
        <f t="shared" si="47"/>
        <v>-21444.802151383334</v>
      </c>
      <c r="L143" s="438">
        <f t="shared" si="47"/>
        <v>-22821.632845808097</v>
      </c>
      <c r="M143" s="438">
        <f t="shared" si="47"/>
        <v>-24226.000154121364</v>
      </c>
      <c r="N143" s="438">
        <f t="shared" si="47"/>
        <v>-25658.454808600905</v>
      </c>
      <c r="O143" s="438">
        <f t="shared" si="47"/>
        <v>-27119.558556170006</v>
      </c>
      <c r="P143" s="438">
        <f t="shared" si="47"/>
        <v>-28609.88437869052</v>
      </c>
      <c r="Q143" s="438">
        <f t="shared" si="47"/>
        <v>-30130.01671766143</v>
      </c>
      <c r="R143" s="438">
        <f t="shared" si="47"/>
        <v>-31680.551703411755</v>
      </c>
      <c r="S143" s="438">
        <f t="shared" si="47"/>
        <v>-33262.097388877075</v>
      </c>
      <c r="T143" s="438">
        <f t="shared" si="47"/>
        <v>-34875.273988051733</v>
      </c>
      <c r="U143" s="438">
        <f t="shared" si="47"/>
        <v>-36520.714119209864</v>
      </c>
      <c r="V143" s="438">
        <f t="shared" si="47"/>
        <v>-38199.06305299115</v>
      </c>
      <c r="W143" s="438">
        <f t="shared" si="47"/>
        <v>-39910.978965448085</v>
      </c>
      <c r="X143" s="438">
        <f t="shared" si="47"/>
        <v>-41657.133196154144</v>
      </c>
      <c r="Y143" s="438">
        <f t="shared" si="47"/>
        <v>-43438.210511474332</v>
      </c>
      <c r="Z143" s="438">
        <f t="shared" si="47"/>
        <v>-45254.909373100912</v>
      </c>
      <c r="AA143" s="438">
        <f t="shared" si="47"/>
        <v>-47107.94221196002</v>
      </c>
      <c r="AB143" s="438">
        <f t="shared" si="47"/>
        <v>-48998.035707596333</v>
      </c>
      <c r="AC143" s="438">
        <f t="shared" si="47"/>
        <v>-50925.931073145366</v>
      </c>
    </row>
    <row r="144" spans="1:29" s="53" customFormat="1" ht="15.75">
      <c r="A144" s="45"/>
      <c r="B144" s="45"/>
      <c r="C144" s="425" t="s">
        <v>0</v>
      </c>
      <c r="D144" s="442">
        <f>SUM(D145:D151)</f>
        <v>3475.7370316518827</v>
      </c>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row>
    <row r="145" spans="1:29" s="53" customFormat="1" ht="15.75">
      <c r="A145" s="45"/>
      <c r="B145" s="45"/>
      <c r="C145" s="427" t="s">
        <v>599</v>
      </c>
      <c r="D145" s="440">
        <f t="shared" ref="D145:D151" si="48">SUM(F145:AC145)/1000</f>
        <v>-240.19590758163542</v>
      </c>
      <c r="E145" s="25"/>
      <c r="F145" s="446">
        <f>F35+F48</f>
        <v>0</v>
      </c>
      <c r="G145" s="446">
        <f t="shared" ref="G145:AC145" si="49">G35+G48</f>
        <v>0</v>
      </c>
      <c r="H145" s="446">
        <f t="shared" si="49"/>
        <v>-5643.8905996052772</v>
      </c>
      <c r="I145" s="446">
        <f t="shared" si="49"/>
        <v>-6150.1930952244984</v>
      </c>
      <c r="J145" s="446">
        <f t="shared" si="49"/>
        <v>-6656.7798892317323</v>
      </c>
      <c r="K145" s="446">
        <f t="shared" si="49"/>
        <v>-7163.4921911497449</v>
      </c>
      <c r="L145" s="446">
        <f t="shared" si="49"/>
        <v>-7670.1642504266147</v>
      </c>
      <c r="M145" s="446">
        <f t="shared" si="49"/>
        <v>-8176.6231247036776</v>
      </c>
      <c r="N145" s="446">
        <f t="shared" si="49"/>
        <v>-8682.6884411286028</v>
      </c>
      <c r="O145" s="446">
        <f t="shared" si="49"/>
        <v>-9188.1721505149726</v>
      </c>
      <c r="P145" s="446">
        <f t="shared" si="49"/>
        <v>-9692.8782741446048</v>
      </c>
      <c r="Q145" s="446">
        <f t="shared" si="49"/>
        <v>-10196.602643002434</v>
      </c>
      <c r="R145" s="446">
        <f t="shared" si="49"/>
        <v>-10699.132629228976</v>
      </c>
      <c r="S145" s="446">
        <f t="shared" si="49"/>
        <v>-11200.246869568278</v>
      </c>
      <c r="T145" s="446">
        <f t="shared" si="49"/>
        <v>-11699.714980584095</v>
      </c>
      <c r="U145" s="446">
        <f t="shared" si="49"/>
        <v>-12197.297265410039</v>
      </c>
      <c r="V145" s="446">
        <f t="shared" si="49"/>
        <v>-12692.744411793059</v>
      </c>
      <c r="W145" s="446">
        <f t="shared" si="49"/>
        <v>-13185.79718118351</v>
      </c>
      <c r="X145" s="446">
        <f t="shared" si="49"/>
        <v>-13676.186088616992</v>
      </c>
      <c r="Y145" s="446">
        <f t="shared" si="49"/>
        <v>-14163.631073127595</v>
      </c>
      <c r="Z145" s="446">
        <f t="shared" si="49"/>
        <v>-14647.841158423578</v>
      </c>
      <c r="AA145" s="446">
        <f t="shared" si="49"/>
        <v>-15128.514103549793</v>
      </c>
      <c r="AB145" s="446">
        <f t="shared" si="49"/>
        <v>-15605.336043253852</v>
      </c>
      <c r="AC145" s="446">
        <f t="shared" si="49"/>
        <v>-16077.981117763537</v>
      </c>
    </row>
    <row r="146" spans="1:29" s="53" customFormat="1" ht="15.75">
      <c r="A146" s="64"/>
      <c r="B146" s="64"/>
      <c r="C146" s="427" t="s">
        <v>600</v>
      </c>
      <c r="D146" s="440">
        <f t="shared" si="48"/>
        <v>1405.7383288956103</v>
      </c>
      <c r="E146" s="25"/>
      <c r="F146" s="446">
        <f>F55</f>
        <v>0</v>
      </c>
      <c r="G146" s="446">
        <f t="shared" ref="G146:AC146" si="50">G55</f>
        <v>0</v>
      </c>
      <c r="H146" s="446">
        <f t="shared" si="50"/>
        <v>28987.333018412453</v>
      </c>
      <c r="I146" s="446">
        <f t="shared" si="50"/>
        <v>31886.0663202537</v>
      </c>
      <c r="J146" s="446">
        <f t="shared" si="50"/>
        <v>34842.774288131768</v>
      </c>
      <c r="K146" s="446">
        <f t="shared" si="50"/>
        <v>37858.616415367396</v>
      </c>
      <c r="L146" s="446">
        <f t="shared" si="50"/>
        <v>40934.775385147746</v>
      </c>
      <c r="M146" s="446">
        <f t="shared" si="50"/>
        <v>44072.457534323701</v>
      </c>
      <c r="N146" s="446">
        <f t="shared" si="50"/>
        <v>47272.893326483201</v>
      </c>
      <c r="O146" s="446">
        <f t="shared" si="50"/>
        <v>50537.337834485828</v>
      </c>
      <c r="P146" s="446">
        <f t="shared" si="50"/>
        <v>53867.071232648574</v>
      </c>
      <c r="Q146" s="446">
        <f t="shared" si="50"/>
        <v>57263.399298774551</v>
      </c>
      <c r="R146" s="446">
        <f t="shared" si="50"/>
        <v>60727.653926223022</v>
      </c>
      <c r="S146" s="446">
        <f t="shared" si="50"/>
        <v>64261.193646220454</v>
      </c>
      <c r="T146" s="446">
        <f t="shared" si="50"/>
        <v>67865.404160617894</v>
      </c>
      <c r="U146" s="446">
        <f t="shared" si="50"/>
        <v>71541.698885303238</v>
      </c>
      <c r="V146" s="446">
        <f t="shared" si="50"/>
        <v>75291.51950448229</v>
      </c>
      <c r="W146" s="446">
        <f t="shared" si="50"/>
        <v>79116.336536044968</v>
      </c>
      <c r="X146" s="446">
        <f t="shared" si="50"/>
        <v>83017.649908238847</v>
      </c>
      <c r="Y146" s="446">
        <f t="shared" si="50"/>
        <v>86996.989547876641</v>
      </c>
      <c r="Z146" s="446">
        <f t="shared" si="50"/>
        <v>91055.915980307167</v>
      </c>
      <c r="AA146" s="446">
        <f t="shared" si="50"/>
        <v>95196.020941386276</v>
      </c>
      <c r="AB146" s="446">
        <f t="shared" si="50"/>
        <v>99418.928001687047</v>
      </c>
      <c r="AC146" s="446">
        <f t="shared" si="50"/>
        <v>103726.29320319378</v>
      </c>
    </row>
    <row r="147" spans="1:29" s="53" customFormat="1" ht="15.75">
      <c r="A147" s="45"/>
      <c r="B147" s="45"/>
      <c r="C147" s="427" t="s">
        <v>202</v>
      </c>
      <c r="D147" s="440">
        <f t="shared" si="48"/>
        <v>62.629109076867415</v>
      </c>
      <c r="E147" s="25"/>
      <c r="F147" s="446">
        <f>F68</f>
        <v>0</v>
      </c>
      <c r="G147" s="446">
        <f t="shared" ref="G147:AC147" si="51">G68</f>
        <v>0</v>
      </c>
      <c r="H147" s="446">
        <f t="shared" si="51"/>
        <v>1377.1256694005165</v>
      </c>
      <c r="I147" s="446">
        <f t="shared" si="51"/>
        <v>1516.3668301390237</v>
      </c>
      <c r="J147" s="446">
        <f t="shared" si="51"/>
        <v>1658.6518075534686</v>
      </c>
      <c r="K147" s="446">
        <f t="shared" si="51"/>
        <v>1804.0458063048698</v>
      </c>
      <c r="L147" s="446">
        <f t="shared" si="51"/>
        <v>1952.6154347333916</v>
      </c>
      <c r="M147" s="446">
        <f t="shared" si="51"/>
        <v>2104.4287353669406</v>
      </c>
      <c r="N147" s="446">
        <f t="shared" si="51"/>
        <v>2259.5552161009946</v>
      </c>
      <c r="O147" s="446">
        <f t="shared" si="51"/>
        <v>2418.0658820646499</v>
      </c>
      <c r="P147" s="446">
        <f t="shared" si="51"/>
        <v>2580.0332681882255</v>
      </c>
      <c r="Q147" s="446">
        <f t="shared" si="51"/>
        <v>2745.5314724880704</v>
      </c>
      <c r="R147" s="446">
        <f t="shared" si="51"/>
        <v>2914.6361900846605</v>
      </c>
      <c r="S147" s="446">
        <f t="shared" si="51"/>
        <v>3087.4247479703326</v>
      </c>
      <c r="T147" s="446">
        <f t="shared" si="51"/>
        <v>3263.976140543466</v>
      </c>
      <c r="U147" s="446">
        <f t="shared" si="51"/>
        <v>3444.3710659262224</v>
      </c>
      <c r="V147" s="446">
        <f t="shared" si="51"/>
        <v>3628.6919630834618</v>
      </c>
      <c r="W147" s="446">
        <f t="shared" si="51"/>
        <v>3817.0230497606958</v>
      </c>
      <c r="X147" s="446">
        <f t="shared" si="51"/>
        <v>4009.4503612594917</v>
      </c>
      <c r="Y147" s="446">
        <f t="shared" si="51"/>
        <v>4206.0617900690986</v>
      </c>
      <c r="Z147" s="446">
        <f t="shared" si="51"/>
        <v>4406.9471263734413</v>
      </c>
      <c r="AA147" s="446">
        <f t="shared" si="51"/>
        <v>4612.1980994532314</v>
      </c>
      <c r="AB147" s="446">
        <f t="shared" si="51"/>
        <v>4821.9084200031648</v>
      </c>
      <c r="AC147" s="446">
        <f t="shared" si="51"/>
        <v>0</v>
      </c>
    </row>
    <row r="148" spans="1:29" ht="15.75">
      <c r="A148" s="25"/>
      <c r="B148" s="25"/>
      <c r="C148" s="427" t="s">
        <v>203</v>
      </c>
      <c r="D148" s="440">
        <f t="shared" si="48"/>
        <v>217.68156179880779</v>
      </c>
      <c r="F148" s="446">
        <f>F74</f>
        <v>0</v>
      </c>
      <c r="G148" s="446">
        <f t="shared" ref="G148:AC148" si="52">G74</f>
        <v>0</v>
      </c>
      <c r="H148" s="446">
        <f t="shared" si="52"/>
        <v>4488.75</v>
      </c>
      <c r="I148" s="446">
        <f t="shared" si="52"/>
        <v>4937.625</v>
      </c>
      <c r="J148" s="446">
        <f t="shared" si="52"/>
        <v>5395.4774999999991</v>
      </c>
      <c r="K148" s="446">
        <f t="shared" si="52"/>
        <v>5862.4870499999997</v>
      </c>
      <c r="L148" s="446">
        <f t="shared" si="52"/>
        <v>6338.8367909999997</v>
      </c>
      <c r="M148" s="446">
        <f t="shared" si="52"/>
        <v>6824.7135268200009</v>
      </c>
      <c r="N148" s="446">
        <f t="shared" si="52"/>
        <v>7320.3077973564059</v>
      </c>
      <c r="O148" s="446">
        <f t="shared" si="52"/>
        <v>7825.8139533035283</v>
      </c>
      <c r="P148" s="446">
        <f t="shared" si="52"/>
        <v>8341.4302323696047</v>
      </c>
      <c r="Q148" s="446">
        <f t="shared" si="52"/>
        <v>8867.3588370169964</v>
      </c>
      <c r="R148" s="446">
        <f t="shared" si="52"/>
        <v>9403.8060137573357</v>
      </c>
      <c r="S148" s="446">
        <f t="shared" si="52"/>
        <v>9950.9821340324779</v>
      </c>
      <c r="T148" s="446">
        <f t="shared" si="52"/>
        <v>10509.101776713132</v>
      </c>
      <c r="U148" s="446">
        <f t="shared" si="52"/>
        <v>11078.383812247395</v>
      </c>
      <c r="V148" s="446">
        <f t="shared" si="52"/>
        <v>11659.051488492341</v>
      </c>
      <c r="W148" s="446">
        <f t="shared" si="52"/>
        <v>12251.332518262192</v>
      </c>
      <c r="X148" s="446">
        <f t="shared" si="52"/>
        <v>12855.459168627433</v>
      </c>
      <c r="Y148" s="446">
        <f t="shared" si="52"/>
        <v>13471.668351999986</v>
      </c>
      <c r="Z148" s="446">
        <f t="shared" si="52"/>
        <v>14100.201719039986</v>
      </c>
      <c r="AA148" s="446">
        <f t="shared" si="52"/>
        <v>14741.30575342078</v>
      </c>
      <c r="AB148" s="446">
        <f t="shared" si="52"/>
        <v>15395.231868489202</v>
      </c>
      <c r="AC148" s="446">
        <f t="shared" si="52"/>
        <v>16062.236505858986</v>
      </c>
    </row>
    <row r="149" spans="1:29" ht="15.75">
      <c r="A149" s="25"/>
      <c r="B149" s="25"/>
      <c r="C149" s="427" t="s">
        <v>204</v>
      </c>
      <c r="D149" s="440">
        <f t="shared" si="48"/>
        <v>830.8481747099936</v>
      </c>
      <c r="F149" s="446">
        <f>F92+F77</f>
        <v>0</v>
      </c>
      <c r="G149" s="446">
        <f t="shared" ref="G149:AC149" si="53">G92+G77</f>
        <v>0</v>
      </c>
      <c r="H149" s="446">
        <f t="shared" si="53"/>
        <v>22965.488691539402</v>
      </c>
      <c r="I149" s="446">
        <f t="shared" si="53"/>
        <v>24267.031837149152</v>
      </c>
      <c r="J149" s="446">
        <f t="shared" si="53"/>
        <v>25445.301995923786</v>
      </c>
      <c r="K149" s="446">
        <f t="shared" si="53"/>
        <v>26498.628491235075</v>
      </c>
      <c r="L149" s="446">
        <f t="shared" si="53"/>
        <v>27425.125392415594</v>
      </c>
      <c r="M149" s="446">
        <f t="shared" si="53"/>
        <v>28222.701718254681</v>
      </c>
      <c r="N149" s="446">
        <f t="shared" si="53"/>
        <v>29278.579251863055</v>
      </c>
      <c r="O149" s="446">
        <f t="shared" si="53"/>
        <v>30238.233460706455</v>
      </c>
      <c r="P149" s="446">
        <f t="shared" si="53"/>
        <v>31995.791022710844</v>
      </c>
      <c r="Q149" s="446">
        <f t="shared" si="53"/>
        <v>33763.607997919564</v>
      </c>
      <c r="R149" s="446">
        <f t="shared" si="53"/>
        <v>35541.595795542074</v>
      </c>
      <c r="S149" s="446">
        <f t="shared" si="53"/>
        <v>37329.658178500722</v>
      </c>
      <c r="T149" s="446">
        <f t="shared" si="53"/>
        <v>39127.690993301178</v>
      </c>
      <c r="U149" s="446">
        <f t="shared" si="53"/>
        <v>40935.581892160721</v>
      </c>
      <c r="V149" s="446">
        <f t="shared" si="53"/>
        <v>42753.210047193585</v>
      </c>
      <c r="W149" s="446">
        <f t="shared" si="53"/>
        <v>44580.445856446109</v>
      </c>
      <c r="X149" s="446">
        <f t="shared" si="53"/>
        <v>46417.150641570508</v>
      </c>
      <c r="Y149" s="446">
        <f t="shared" si="53"/>
        <v>48263.176336920646</v>
      </c>
      <c r="Z149" s="446">
        <f t="shared" si="53"/>
        <v>50494.223854158794</v>
      </c>
      <c r="AA149" s="446">
        <f t="shared" si="53"/>
        <v>52768.445575992984</v>
      </c>
      <c r="AB149" s="446">
        <f t="shared" si="53"/>
        <v>55086.688686570982</v>
      </c>
      <c r="AC149" s="446">
        <f t="shared" si="53"/>
        <v>57449.816991917949</v>
      </c>
    </row>
    <row r="150" spans="1:29" ht="15.75">
      <c r="A150" s="25"/>
      <c r="B150" s="25"/>
      <c r="C150" s="427" t="s">
        <v>601</v>
      </c>
      <c r="D150" s="440">
        <f t="shared" si="48"/>
        <v>1.8471489918939477</v>
      </c>
      <c r="F150" s="446">
        <f>F97</f>
        <v>0</v>
      </c>
      <c r="G150" s="446">
        <f t="shared" ref="G150:AC150" si="54">G97</f>
        <v>0</v>
      </c>
      <c r="H150" s="446">
        <f t="shared" si="54"/>
        <v>38.089537620220113</v>
      </c>
      <c r="I150" s="446">
        <f t="shared" si="54"/>
        <v>41.898491382242121</v>
      </c>
      <c r="J150" s="446">
        <f t="shared" si="54"/>
        <v>45.783624219504574</v>
      </c>
      <c r="K150" s="446">
        <f t="shared" si="54"/>
        <v>49.746459713512266</v>
      </c>
      <c r="L150" s="446">
        <f t="shared" si="54"/>
        <v>53.788551917400127</v>
      </c>
      <c r="M150" s="446">
        <f t="shared" si="54"/>
        <v>57.911485965365742</v>
      </c>
      <c r="N150" s="446">
        <f t="shared" si="54"/>
        <v>62.116878694290712</v>
      </c>
      <c r="O150" s="446">
        <f t="shared" si="54"/>
        <v>66.406379277794102</v>
      </c>
      <c r="P150" s="446">
        <f t="shared" si="54"/>
        <v>70.781669872967626</v>
      </c>
      <c r="Q150" s="446">
        <f t="shared" si="54"/>
        <v>75.244466280044591</v>
      </c>
      <c r="R150" s="446">
        <f t="shared" si="54"/>
        <v>79.796518615263082</v>
      </c>
      <c r="S150" s="446">
        <f t="shared" si="54"/>
        <v>84.439611997185921</v>
      </c>
      <c r="T150" s="446">
        <f t="shared" si="54"/>
        <v>89.175567246747278</v>
      </c>
      <c r="U150" s="446">
        <f t="shared" si="54"/>
        <v>94.006241601299834</v>
      </c>
      <c r="V150" s="446">
        <f t="shared" si="54"/>
        <v>98.933529442943438</v>
      </c>
      <c r="W150" s="446">
        <f t="shared" si="54"/>
        <v>103.95936304141995</v>
      </c>
      <c r="X150" s="446">
        <f t="shared" si="54"/>
        <v>109.08571331186593</v>
      </c>
      <c r="Y150" s="446">
        <f t="shared" si="54"/>
        <v>114.31459058772089</v>
      </c>
      <c r="Z150" s="446">
        <f t="shared" si="54"/>
        <v>119.64804540909292</v>
      </c>
      <c r="AA150" s="446">
        <f t="shared" si="54"/>
        <v>125.08816932689234</v>
      </c>
      <c r="AB150" s="446">
        <f t="shared" si="54"/>
        <v>130.63709572304785</v>
      </c>
      <c r="AC150" s="446">
        <f t="shared" si="54"/>
        <v>136.29700064712642</v>
      </c>
    </row>
    <row r="151" spans="1:29" ht="15.75">
      <c r="A151" s="25"/>
      <c r="B151" s="25"/>
      <c r="C151" s="427" t="s">
        <v>205</v>
      </c>
      <c r="D151" s="440">
        <f t="shared" si="48"/>
        <v>1197.1886157603451</v>
      </c>
      <c r="F151" s="446">
        <f>F116+F118+F120</f>
        <v>0</v>
      </c>
      <c r="G151" s="446">
        <f t="shared" ref="G151:AC151" si="55">G116+G118+G120</f>
        <v>0</v>
      </c>
      <c r="H151" s="446">
        <f t="shared" si="55"/>
        <v>24686.888290341554</v>
      </c>
      <c r="I151" s="446">
        <f t="shared" si="55"/>
        <v>27155.577119375706</v>
      </c>
      <c r="J151" s="446">
        <f t="shared" si="55"/>
        <v>29673.639724990535</v>
      </c>
      <c r="K151" s="446">
        <f t="shared" si="55"/>
        <v>32242.063582717681</v>
      </c>
      <c r="L151" s="446">
        <f t="shared" si="55"/>
        <v>34861.855917599358</v>
      </c>
      <c r="M151" s="446">
        <f t="shared" si="55"/>
        <v>37534.044099178675</v>
      </c>
      <c r="N151" s="446">
        <f t="shared" si="55"/>
        <v>40259.676044389598</v>
      </c>
      <c r="O151" s="446">
        <f t="shared" si="55"/>
        <v>43039.820628504691</v>
      </c>
      <c r="P151" s="446">
        <f t="shared" si="55"/>
        <v>45875.568104302132</v>
      </c>
      <c r="Q151" s="446">
        <f t="shared" si="55"/>
        <v>48768.030529615498</v>
      </c>
      <c r="R151" s="446">
        <f t="shared" si="55"/>
        <v>51718.342203435139</v>
      </c>
      <c r="S151" s="446">
        <f t="shared" si="55"/>
        <v>54727.660110731129</v>
      </c>
      <c r="T151" s="446">
        <f t="shared" si="55"/>
        <v>57797.164376173103</v>
      </c>
      <c r="U151" s="446">
        <f t="shared" si="55"/>
        <v>60928.058726923897</v>
      </c>
      <c r="V151" s="446">
        <f t="shared" si="55"/>
        <v>64121.570964689679</v>
      </c>
      <c r="W151" s="446">
        <f t="shared" si="55"/>
        <v>67378.953447210821</v>
      </c>
      <c r="X151" s="446">
        <f t="shared" si="55"/>
        <v>70701.483579382359</v>
      </c>
      <c r="Y151" s="446">
        <f t="shared" si="55"/>
        <v>74090.464314197336</v>
      </c>
      <c r="Z151" s="446">
        <f t="shared" si="55"/>
        <v>77547.224663708621</v>
      </c>
      <c r="AA151" s="446">
        <f t="shared" si="55"/>
        <v>81073.120220210069</v>
      </c>
      <c r="AB151" s="446">
        <f t="shared" si="55"/>
        <v>84669.533687841642</v>
      </c>
      <c r="AC151" s="446">
        <f t="shared" si="55"/>
        <v>88337.875424825805</v>
      </c>
    </row>
    <row r="152" spans="1:29" ht="15.75">
      <c r="A152" s="25"/>
      <c r="B152" s="25"/>
      <c r="C152" s="426"/>
      <c r="D152" s="441"/>
      <c r="F152" s="437">
        <f>SUM(F145:F151)</f>
        <v>0</v>
      </c>
      <c r="G152" s="437">
        <f t="shared" ref="G152:AC152" si="56">SUM(G145:G151)</f>
        <v>0</v>
      </c>
      <c r="H152" s="437">
        <f t="shared" si="56"/>
        <v>76899.784607708862</v>
      </c>
      <c r="I152" s="437">
        <f t="shared" si="56"/>
        <v>83654.372503075327</v>
      </c>
      <c r="J152" s="437">
        <f t="shared" si="56"/>
        <v>90404.849051587327</v>
      </c>
      <c r="K152" s="437">
        <f t="shared" si="56"/>
        <v>97152.095614188787</v>
      </c>
      <c r="L152" s="437">
        <f t="shared" si="56"/>
        <v>103896.83322238688</v>
      </c>
      <c r="M152" s="437">
        <f t="shared" si="56"/>
        <v>110639.63397520568</v>
      </c>
      <c r="N152" s="437">
        <f t="shared" si="56"/>
        <v>117770.44007375895</v>
      </c>
      <c r="O152" s="437">
        <f t="shared" si="56"/>
        <v>124937.50598782797</v>
      </c>
      <c r="P152" s="437">
        <f t="shared" si="56"/>
        <v>133037.79725594775</v>
      </c>
      <c r="Q152" s="437">
        <f t="shared" si="56"/>
        <v>141286.5699590923</v>
      </c>
      <c r="R152" s="437">
        <f t="shared" si="56"/>
        <v>149686.69801842852</v>
      </c>
      <c r="S152" s="437">
        <f t="shared" si="56"/>
        <v>158241.11155988401</v>
      </c>
      <c r="T152" s="437">
        <f t="shared" si="56"/>
        <v>166952.79803401142</v>
      </c>
      <c r="U152" s="437">
        <f t="shared" si="56"/>
        <v>175824.80335875275</v>
      </c>
      <c r="V152" s="437">
        <f t="shared" si="56"/>
        <v>184860.23308559126</v>
      </c>
      <c r="W152" s="437">
        <f t="shared" si="56"/>
        <v>194062.25358958269</v>
      </c>
      <c r="X152" s="437">
        <f t="shared" si="56"/>
        <v>203434.09328377352</v>
      </c>
      <c r="Y152" s="437">
        <f t="shared" si="56"/>
        <v>212979.04385852383</v>
      </c>
      <c r="Z152" s="437">
        <f t="shared" si="56"/>
        <v>223076.32023057353</v>
      </c>
      <c r="AA152" s="437">
        <f t="shared" si="56"/>
        <v>233387.66465624043</v>
      </c>
      <c r="AB152" s="437">
        <f t="shared" si="56"/>
        <v>243917.59171706124</v>
      </c>
      <c r="AC152" s="437">
        <f t="shared" si="56"/>
        <v>249634.5380086801</v>
      </c>
    </row>
    <row r="153" spans="1:29" ht="15.75">
      <c r="A153" s="25"/>
      <c r="B153" s="25"/>
      <c r="C153" s="425" t="s">
        <v>184</v>
      </c>
      <c r="D153" s="218"/>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row>
    <row r="154" spans="1:29" ht="15.75">
      <c r="A154" s="25"/>
      <c r="B154" s="25"/>
      <c r="C154" s="425" t="s">
        <v>185</v>
      </c>
      <c r="D154" s="443">
        <f>IRR(F154:AC154)</f>
        <v>0.27980809566735171</v>
      </c>
      <c r="F154" s="439">
        <f>F143+F152</f>
        <v>0</v>
      </c>
      <c r="G154" s="439">
        <f t="shared" ref="G154:AC154" si="57">G143+G152</f>
        <v>-275620</v>
      </c>
      <c r="H154" s="439">
        <f t="shared" si="57"/>
        <v>51445.601465245127</v>
      </c>
      <c r="I154" s="439">
        <f t="shared" si="57"/>
        <v>64882.771046365218</v>
      </c>
      <c r="J154" s="439">
        <f t="shared" si="57"/>
        <v>70309.880914345922</v>
      </c>
      <c r="K154" s="439">
        <f t="shared" si="57"/>
        <v>75707.29346280545</v>
      </c>
      <c r="L154" s="439">
        <f t="shared" si="57"/>
        <v>81075.200376578781</v>
      </c>
      <c r="M154" s="439">
        <f t="shared" si="57"/>
        <v>86413.63382108431</v>
      </c>
      <c r="N154" s="439">
        <f t="shared" si="57"/>
        <v>92111.985265158044</v>
      </c>
      <c r="O154" s="439">
        <f t="shared" si="57"/>
        <v>97817.947431657958</v>
      </c>
      <c r="P154" s="439">
        <f t="shared" si="57"/>
        <v>104427.91287725723</v>
      </c>
      <c r="Q154" s="439">
        <f t="shared" si="57"/>
        <v>111156.55324143087</v>
      </c>
      <c r="R154" s="439">
        <f t="shared" si="57"/>
        <v>118006.14631501677</v>
      </c>
      <c r="S154" s="439">
        <f t="shared" si="57"/>
        <v>124979.01417100694</v>
      </c>
      <c r="T154" s="439">
        <f t="shared" si="57"/>
        <v>132077.5240459597</v>
      </c>
      <c r="U154" s="439">
        <f t="shared" si="57"/>
        <v>139304.0892395429</v>
      </c>
      <c r="V154" s="439">
        <f t="shared" si="57"/>
        <v>146661.17003260012</v>
      </c>
      <c r="W154" s="439">
        <f t="shared" si="57"/>
        <v>154151.27462413459</v>
      </c>
      <c r="X154" s="439">
        <f t="shared" si="57"/>
        <v>161776.96008761937</v>
      </c>
      <c r="Y154" s="439">
        <f t="shared" si="57"/>
        <v>169540.83334704948</v>
      </c>
      <c r="Z154" s="439">
        <f t="shared" si="57"/>
        <v>177821.41085747263</v>
      </c>
      <c r="AA154" s="439">
        <f t="shared" si="57"/>
        <v>186279.7224442804</v>
      </c>
      <c r="AB154" s="439">
        <f t="shared" si="57"/>
        <v>194919.5560094649</v>
      </c>
      <c r="AC154" s="439">
        <f t="shared" si="57"/>
        <v>198708.60693553474</v>
      </c>
    </row>
    <row r="155" spans="1:29" ht="15.75">
      <c r="A155" s="25"/>
      <c r="B155" s="25"/>
      <c r="C155" s="425" t="s">
        <v>186</v>
      </c>
      <c r="D155" s="444"/>
      <c r="F155" s="431">
        <f>F154-F126</f>
        <v>0</v>
      </c>
      <c r="G155" s="431">
        <f t="shared" ref="G155:AC155" si="58">G154-G126</f>
        <v>0</v>
      </c>
      <c r="H155" s="431">
        <f t="shared" si="58"/>
        <v>0</v>
      </c>
      <c r="I155" s="431">
        <f t="shared" si="58"/>
        <v>0</v>
      </c>
      <c r="J155" s="431">
        <f t="shared" si="58"/>
        <v>0</v>
      </c>
      <c r="K155" s="431">
        <f t="shared" si="58"/>
        <v>0</v>
      </c>
      <c r="L155" s="431">
        <f t="shared" si="58"/>
        <v>0</v>
      </c>
      <c r="M155" s="431">
        <f t="shared" si="58"/>
        <v>0</v>
      </c>
      <c r="N155" s="431">
        <f t="shared" si="58"/>
        <v>0</v>
      </c>
      <c r="O155" s="431">
        <f t="shared" si="58"/>
        <v>0</v>
      </c>
      <c r="P155" s="431">
        <f t="shared" si="58"/>
        <v>0</v>
      </c>
      <c r="Q155" s="431">
        <f t="shared" si="58"/>
        <v>0</v>
      </c>
      <c r="R155" s="431">
        <f t="shared" si="58"/>
        <v>0</v>
      </c>
      <c r="S155" s="431">
        <f t="shared" si="58"/>
        <v>0</v>
      </c>
      <c r="T155" s="431">
        <f t="shared" si="58"/>
        <v>0</v>
      </c>
      <c r="U155" s="431">
        <f t="shared" si="58"/>
        <v>0</v>
      </c>
      <c r="V155" s="431">
        <f t="shared" si="58"/>
        <v>0</v>
      </c>
      <c r="W155" s="431">
        <f t="shared" si="58"/>
        <v>0</v>
      </c>
      <c r="X155" s="431">
        <f t="shared" si="58"/>
        <v>0</v>
      </c>
      <c r="Y155" s="431">
        <f t="shared" si="58"/>
        <v>0</v>
      </c>
      <c r="Z155" s="431">
        <f t="shared" si="58"/>
        <v>0</v>
      </c>
      <c r="AA155" s="431">
        <f t="shared" si="58"/>
        <v>0</v>
      </c>
      <c r="AB155" s="431">
        <f t="shared" si="58"/>
        <v>0</v>
      </c>
      <c r="AC155" s="431">
        <f t="shared" si="58"/>
        <v>0</v>
      </c>
    </row>
    <row r="156" spans="1:29">
      <c r="A156" s="25"/>
      <c r="B156" s="25"/>
      <c r="C156" s="50"/>
      <c r="D156" s="40"/>
      <c r="F156" s="39"/>
    </row>
    <row r="157" spans="1:29">
      <c r="A157" s="25"/>
      <c r="B157" s="25"/>
      <c r="C157" s="50"/>
      <c r="D157" s="25"/>
      <c r="F157" s="39"/>
    </row>
    <row r="158" spans="1:29" ht="14.25">
      <c r="A158" s="25"/>
      <c r="B158" s="25"/>
      <c r="C158" s="436" t="s">
        <v>602</v>
      </c>
      <c r="D158" s="39"/>
      <c r="E158" s="39"/>
      <c r="F158" s="39"/>
    </row>
    <row r="159" spans="1:29" ht="15.75">
      <c r="A159" s="25"/>
      <c r="B159" s="25"/>
      <c r="C159" s="425" t="s">
        <v>1</v>
      </c>
      <c r="D159" s="442">
        <f>SUM(D160:D163)</f>
        <v>736.24994283277852</v>
      </c>
      <c r="E159" s="39"/>
      <c r="F159" s="446"/>
      <c r="G159" s="446"/>
      <c r="H159" s="446"/>
      <c r="I159" s="446"/>
      <c r="J159" s="446"/>
      <c r="K159" s="446"/>
      <c r="L159" s="446"/>
      <c r="M159" s="446"/>
      <c r="N159" s="446"/>
      <c r="O159" s="446"/>
      <c r="P159" s="446"/>
      <c r="Q159" s="446"/>
      <c r="R159" s="446"/>
      <c r="S159" s="446"/>
      <c r="T159" s="446"/>
      <c r="U159" s="446"/>
      <c r="V159" s="446"/>
      <c r="W159" s="446"/>
      <c r="X159" s="446"/>
      <c r="Y159" s="446"/>
      <c r="Z159" s="446"/>
      <c r="AA159" s="446"/>
      <c r="AB159" s="446"/>
      <c r="AC159" s="446"/>
    </row>
    <row r="160" spans="1:29" ht="15.75">
      <c r="A160" s="25"/>
      <c r="B160" s="25"/>
      <c r="C160" s="427" t="s">
        <v>199</v>
      </c>
      <c r="D160" s="440">
        <f>-SUM(F160:AC160)/1000</f>
        <v>267.10111491708358</v>
      </c>
      <c r="E160" s="39"/>
      <c r="F160" s="446">
        <f t="shared" ref="F160:AC160" si="59">F139*F$127</f>
        <v>0</v>
      </c>
      <c r="G160" s="446">
        <f t="shared" si="59"/>
        <v>-259798.28447544537</v>
      </c>
      <c r="H160" s="446">
        <f t="shared" si="59"/>
        <v>-7302.8304416382125</v>
      </c>
      <c r="I160" s="446">
        <f t="shared" si="59"/>
        <v>0</v>
      </c>
      <c r="J160" s="446">
        <f t="shared" si="59"/>
        <v>0</v>
      </c>
      <c r="K160" s="446">
        <f t="shared" si="59"/>
        <v>0</v>
      </c>
      <c r="L160" s="446">
        <f t="shared" si="59"/>
        <v>0</v>
      </c>
      <c r="M160" s="446">
        <f t="shared" si="59"/>
        <v>0</v>
      </c>
      <c r="N160" s="446">
        <f t="shared" si="59"/>
        <v>0</v>
      </c>
      <c r="O160" s="446">
        <f t="shared" si="59"/>
        <v>0</v>
      </c>
      <c r="P160" s="446">
        <f t="shared" si="59"/>
        <v>0</v>
      </c>
      <c r="Q160" s="446">
        <f t="shared" si="59"/>
        <v>0</v>
      </c>
      <c r="R160" s="446">
        <f t="shared" si="59"/>
        <v>0</v>
      </c>
      <c r="S160" s="446">
        <f t="shared" si="59"/>
        <v>0</v>
      </c>
      <c r="T160" s="446">
        <f t="shared" si="59"/>
        <v>0</v>
      </c>
      <c r="U160" s="446">
        <f t="shared" si="59"/>
        <v>0</v>
      </c>
      <c r="V160" s="446">
        <f t="shared" si="59"/>
        <v>0</v>
      </c>
      <c r="W160" s="446">
        <f t="shared" si="59"/>
        <v>0</v>
      </c>
      <c r="X160" s="446">
        <f t="shared" si="59"/>
        <v>0</v>
      </c>
      <c r="Y160" s="446">
        <f t="shared" si="59"/>
        <v>0</v>
      </c>
      <c r="Z160" s="446">
        <f t="shared" si="59"/>
        <v>0</v>
      </c>
      <c r="AA160" s="446">
        <f t="shared" si="59"/>
        <v>0</v>
      </c>
      <c r="AB160" s="446">
        <f t="shared" si="59"/>
        <v>0</v>
      </c>
      <c r="AC160" s="446">
        <f t="shared" si="59"/>
        <v>0</v>
      </c>
    </row>
    <row r="161" spans="1:29" ht="15.75">
      <c r="A161" s="25"/>
      <c r="B161" s="25"/>
      <c r="C161" s="427" t="s">
        <v>200</v>
      </c>
      <c r="D161" s="440">
        <f>-SUM(F161:AC161)/1000</f>
        <v>67.59932591913676</v>
      </c>
      <c r="F161" s="446">
        <f t="shared" ref="F161:AC161" si="60">F140*F$127</f>
        <v>0</v>
      </c>
      <c r="G161" s="446">
        <f t="shared" si="60"/>
        <v>0</v>
      </c>
      <c r="H161" s="446">
        <f t="shared" si="60"/>
        <v>-4118.1374670892174</v>
      </c>
      <c r="I161" s="446">
        <f t="shared" si="60"/>
        <v>-3998.1917156205996</v>
      </c>
      <c r="J161" s="446">
        <f t="shared" si="60"/>
        <v>-3881.7395297287376</v>
      </c>
      <c r="K161" s="446">
        <f t="shared" si="60"/>
        <v>-3768.6791550764442</v>
      </c>
      <c r="L161" s="446">
        <f t="shared" si="60"/>
        <v>-3658.9118010450911</v>
      </c>
      <c r="M161" s="446">
        <f t="shared" si="60"/>
        <v>-3552.3415544127097</v>
      </c>
      <c r="N161" s="446">
        <f t="shared" si="60"/>
        <v>-3448.8752955463201</v>
      </c>
      <c r="O161" s="446">
        <f t="shared" si="60"/>
        <v>-3348.4226170352622</v>
      </c>
      <c r="P161" s="446">
        <f t="shared" si="60"/>
        <v>-3250.8957446944296</v>
      </c>
      <c r="Q161" s="446">
        <f t="shared" si="60"/>
        <v>-3156.2094608683783</v>
      </c>
      <c r="R161" s="446">
        <f t="shared" si="60"/>
        <v>-3064.2810299692992</v>
      </c>
      <c r="S161" s="446">
        <f t="shared" si="60"/>
        <v>-2975.0301261837853</v>
      </c>
      <c r="T161" s="446">
        <f t="shared" si="60"/>
        <v>-2888.3787632852286</v>
      </c>
      <c r="U161" s="446">
        <f t="shared" si="60"/>
        <v>-2804.2512264905131</v>
      </c>
      <c r="V161" s="446">
        <f t="shared" si="60"/>
        <v>-2722.5740063014691</v>
      </c>
      <c r="W161" s="446">
        <f t="shared" si="60"/>
        <v>-2643.2757342732707</v>
      </c>
      <c r="X161" s="446">
        <f t="shared" si="60"/>
        <v>-2566.2871206536611</v>
      </c>
      <c r="Y161" s="446">
        <f t="shared" si="60"/>
        <v>-2491.5408938385058</v>
      </c>
      <c r="Z161" s="446">
        <f t="shared" si="60"/>
        <v>-2418.9717415907826</v>
      </c>
      <c r="AA161" s="446">
        <f t="shared" si="60"/>
        <v>-2348.5162539716334</v>
      </c>
      <c r="AB161" s="446">
        <f t="shared" si="60"/>
        <v>-2280.1128679336243</v>
      </c>
      <c r="AC161" s="446">
        <f t="shared" si="60"/>
        <v>-2213.7018135277908</v>
      </c>
    </row>
    <row r="162" spans="1:29" ht="15.75">
      <c r="A162" s="25"/>
      <c r="B162" s="25"/>
      <c r="C162" s="428" t="s">
        <v>563</v>
      </c>
      <c r="D162" s="440">
        <f>-SUM(F162:AC162)/1000</f>
        <v>0</v>
      </c>
      <c r="F162" s="446">
        <f t="shared" ref="F162:AC162" si="61">F141*F$127</f>
        <v>0</v>
      </c>
      <c r="G162" s="446">
        <f t="shared" si="61"/>
        <v>0</v>
      </c>
      <c r="H162" s="446">
        <f t="shared" si="61"/>
        <v>0</v>
      </c>
      <c r="I162" s="446">
        <f t="shared" si="61"/>
        <v>0</v>
      </c>
      <c r="J162" s="446">
        <f t="shared" si="61"/>
        <v>0</v>
      </c>
      <c r="K162" s="446">
        <f t="shared" si="61"/>
        <v>0</v>
      </c>
      <c r="L162" s="446">
        <f t="shared" si="61"/>
        <v>0</v>
      </c>
      <c r="M162" s="446">
        <f t="shared" si="61"/>
        <v>0</v>
      </c>
      <c r="N162" s="446">
        <f t="shared" si="61"/>
        <v>0</v>
      </c>
      <c r="O162" s="446">
        <f t="shared" si="61"/>
        <v>0</v>
      </c>
      <c r="P162" s="446">
        <f t="shared" si="61"/>
        <v>0</v>
      </c>
      <c r="Q162" s="446">
        <f t="shared" si="61"/>
        <v>0</v>
      </c>
      <c r="R162" s="446">
        <f t="shared" si="61"/>
        <v>0</v>
      </c>
      <c r="S162" s="446">
        <f t="shared" si="61"/>
        <v>0</v>
      </c>
      <c r="T162" s="446">
        <f t="shared" si="61"/>
        <v>0</v>
      </c>
      <c r="U162" s="446">
        <f t="shared" si="61"/>
        <v>0</v>
      </c>
      <c r="V162" s="446">
        <f t="shared" si="61"/>
        <v>0</v>
      </c>
      <c r="W162" s="446">
        <f t="shared" si="61"/>
        <v>0</v>
      </c>
      <c r="X162" s="446">
        <f t="shared" si="61"/>
        <v>0</v>
      </c>
      <c r="Y162" s="446">
        <f t="shared" si="61"/>
        <v>0</v>
      </c>
      <c r="Z162" s="446">
        <f t="shared" si="61"/>
        <v>0</v>
      </c>
      <c r="AA162" s="446">
        <f t="shared" si="61"/>
        <v>0</v>
      </c>
      <c r="AB162" s="446">
        <f t="shared" si="61"/>
        <v>0</v>
      </c>
      <c r="AC162" s="446">
        <f t="shared" si="61"/>
        <v>0</v>
      </c>
    </row>
    <row r="163" spans="1:29" ht="15.75">
      <c r="A163" s="25"/>
      <c r="B163" s="25"/>
      <c r="C163" s="427" t="s">
        <v>201</v>
      </c>
      <c r="D163" s="440">
        <f>-SUM(F163:AC163)/1000</f>
        <v>401.54950199655815</v>
      </c>
      <c r="F163" s="446">
        <f t="shared" ref="F163:AC163" si="62">F142*F$127</f>
        <v>0</v>
      </c>
      <c r="G163" s="446">
        <f t="shared" si="62"/>
        <v>0</v>
      </c>
      <c r="H163" s="446">
        <f t="shared" si="62"/>
        <v>-11873.215489746051</v>
      </c>
      <c r="I163" s="446">
        <f t="shared" si="62"/>
        <v>-12680.133047301606</v>
      </c>
      <c r="J163" s="446">
        <f t="shared" si="62"/>
        <v>-13452.35650737558</v>
      </c>
      <c r="K163" s="446">
        <f t="shared" si="62"/>
        <v>-14191.005034402857</v>
      </c>
      <c r="L163" s="446">
        <f t="shared" si="62"/>
        <v>-14897.164140876133</v>
      </c>
      <c r="M163" s="446">
        <f t="shared" si="62"/>
        <v>-15571.886677741521</v>
      </c>
      <c r="N163" s="446">
        <f t="shared" si="62"/>
        <v>-16216.193795848201</v>
      </c>
      <c r="O163" s="446">
        <f t="shared" si="62"/>
        <v>-16831.075879296252</v>
      </c>
      <c r="P163" s="446">
        <f t="shared" si="62"/>
        <v>-17417.493451502156</v>
      </c>
      <c r="Q163" s="446">
        <f t="shared" si="62"/>
        <v>-17976.378054777266</v>
      </c>
      <c r="R163" s="446">
        <f t="shared" si="62"/>
        <v>-18508.633104192078</v>
      </c>
      <c r="S163" s="446">
        <f t="shared" si="62"/>
        <v>-19015.134716475844</v>
      </c>
      <c r="T163" s="446">
        <f t="shared" si="62"/>
        <v>-19496.732514679741</v>
      </c>
      <c r="U163" s="446">
        <f t="shared" si="62"/>
        <v>-19954.250409310298</v>
      </c>
      <c r="V163" s="446">
        <f t="shared" si="62"/>
        <v>-20388.487356619538</v>
      </c>
      <c r="W163" s="446">
        <f t="shared" si="62"/>
        <v>-20800.218094717806</v>
      </c>
      <c r="X163" s="446">
        <f t="shared" si="62"/>
        <v>-21190.193858156217</v>
      </c>
      <c r="Y163" s="446">
        <f t="shared" si="62"/>
        <v>-21559.143071606813</v>
      </c>
      <c r="Z163" s="446">
        <f t="shared" si="62"/>
        <v>-21907.772023249872</v>
      </c>
      <c r="AA163" s="446">
        <f t="shared" si="62"/>
        <v>-22236.765518460485</v>
      </c>
      <c r="AB163" s="446">
        <f t="shared" si="62"/>
        <v>-22546.787514368956</v>
      </c>
      <c r="AC163" s="446">
        <f t="shared" si="62"/>
        <v>-22838.481735852914</v>
      </c>
    </row>
    <row r="164" spans="1:29" ht="15.75">
      <c r="A164" s="25"/>
      <c r="B164" s="25"/>
      <c r="C164" s="426"/>
      <c r="D164" s="441"/>
      <c r="F164" s="438">
        <f>SUM(F160:F163)</f>
        <v>0</v>
      </c>
      <c r="G164" s="438">
        <f t="shared" ref="G164:AC164" si="63">SUM(G160:G163)</f>
        <v>-259798.28447544537</v>
      </c>
      <c r="H164" s="438">
        <f t="shared" si="63"/>
        <v>-23294.183398473484</v>
      </c>
      <c r="I164" s="438">
        <f t="shared" si="63"/>
        <v>-16678.324762922206</v>
      </c>
      <c r="J164" s="438">
        <f t="shared" si="63"/>
        <v>-17334.096037104318</v>
      </c>
      <c r="K164" s="438">
        <f t="shared" si="63"/>
        <v>-17959.6841894793</v>
      </c>
      <c r="L164" s="438">
        <f t="shared" si="63"/>
        <v>-18556.075941921226</v>
      </c>
      <c r="M164" s="438">
        <f t="shared" si="63"/>
        <v>-19124.22823215423</v>
      </c>
      <c r="N164" s="438">
        <f t="shared" si="63"/>
        <v>-19665.069091394522</v>
      </c>
      <c r="O164" s="438">
        <f t="shared" si="63"/>
        <v>-20179.498496331515</v>
      </c>
      <c r="P164" s="438">
        <f t="shared" si="63"/>
        <v>-20668.389196196586</v>
      </c>
      <c r="Q164" s="438">
        <f t="shared" si="63"/>
        <v>-21132.587515645646</v>
      </c>
      <c r="R164" s="438">
        <f t="shared" si="63"/>
        <v>-21572.914134161379</v>
      </c>
      <c r="S164" s="438">
        <f t="shared" si="63"/>
        <v>-21990.164842659629</v>
      </c>
      <c r="T164" s="438">
        <f t="shared" si="63"/>
        <v>-22385.11127796497</v>
      </c>
      <c r="U164" s="438">
        <f t="shared" si="63"/>
        <v>-22758.501635800811</v>
      </c>
      <c r="V164" s="438">
        <f t="shared" si="63"/>
        <v>-23111.061362921006</v>
      </c>
      <c r="W164" s="438">
        <f t="shared" si="63"/>
        <v>-23443.493828991075</v>
      </c>
      <c r="X164" s="438">
        <f t="shared" si="63"/>
        <v>-23756.480978809879</v>
      </c>
      <c r="Y164" s="438">
        <f t="shared" si="63"/>
        <v>-24050.683965445318</v>
      </c>
      <c r="Z164" s="438">
        <f t="shared" si="63"/>
        <v>-24326.743764840656</v>
      </c>
      <c r="AA164" s="438">
        <f t="shared" si="63"/>
        <v>-24585.281772432118</v>
      </c>
      <c r="AB164" s="438">
        <f t="shared" si="63"/>
        <v>-24826.900382302581</v>
      </c>
      <c r="AC164" s="438">
        <f t="shared" si="63"/>
        <v>-25052.183549380705</v>
      </c>
    </row>
    <row r="165" spans="1:29" ht="15.75">
      <c r="A165" s="25"/>
      <c r="B165" s="25"/>
      <c r="C165" s="425" t="s">
        <v>0</v>
      </c>
      <c r="D165" s="442">
        <f>SUM(D166:D172)</f>
        <v>2225.4545901147217</v>
      </c>
      <c r="F165" s="430"/>
      <c r="G165" s="430"/>
      <c r="H165" s="430"/>
      <c r="I165" s="430"/>
      <c r="J165" s="430"/>
      <c r="K165" s="430"/>
      <c r="L165" s="430"/>
      <c r="M165" s="430"/>
      <c r="N165" s="430"/>
      <c r="O165" s="430"/>
      <c r="P165" s="430"/>
      <c r="Q165" s="430"/>
      <c r="R165" s="430"/>
      <c r="S165" s="430"/>
      <c r="T165" s="430"/>
      <c r="U165" s="430"/>
      <c r="V165" s="430"/>
      <c r="W165" s="430"/>
      <c r="X165" s="430"/>
      <c r="Y165" s="430"/>
      <c r="Z165" s="430"/>
      <c r="AA165" s="430"/>
      <c r="AB165" s="430"/>
      <c r="AC165" s="430"/>
    </row>
    <row r="166" spans="1:29" ht="15.75">
      <c r="A166" s="25"/>
      <c r="B166" s="25"/>
      <c r="C166" s="427" t="s">
        <v>599</v>
      </c>
      <c r="D166" s="440">
        <f t="shared" ref="D166:D172" si="64">SUM(F166:AC166)/1000</f>
        <v>-155.16013501990619</v>
      </c>
      <c r="F166" s="446">
        <f t="shared" ref="F166:AC166" si="65">F145*F$127</f>
        <v>0</v>
      </c>
      <c r="G166" s="446">
        <f t="shared" si="65"/>
        <v>0</v>
      </c>
      <c r="H166" s="446">
        <f t="shared" si="65"/>
        <v>-5164.9594085304716</v>
      </c>
      <c r="I166" s="446">
        <f t="shared" si="65"/>
        <v>-5464.3669072874673</v>
      </c>
      <c r="J166" s="446">
        <f t="shared" si="65"/>
        <v>-5742.1968081631339</v>
      </c>
      <c r="K166" s="446">
        <f t="shared" si="65"/>
        <v>-5999.3119329642059</v>
      </c>
      <c r="L166" s="446">
        <f t="shared" si="65"/>
        <v>-6236.5454426311371</v>
      </c>
      <c r="M166" s="446">
        <f t="shared" si="65"/>
        <v>-6454.7018001459492</v>
      </c>
      <c r="N166" s="446">
        <f t="shared" si="65"/>
        <v>-6654.5577030075619</v>
      </c>
      <c r="O166" s="446">
        <f t="shared" si="65"/>
        <v>-6836.8629862217458</v>
      </c>
      <c r="P166" s="446">
        <f t="shared" si="65"/>
        <v>-7002.3414967239514</v>
      </c>
      <c r="Q166" s="446">
        <f t="shared" si="65"/>
        <v>-7151.6919401243986</v>
      </c>
      <c r="R166" s="446">
        <f t="shared" si="65"/>
        <v>-7285.5887006382</v>
      </c>
      <c r="S166" s="446">
        <f t="shared" si="65"/>
        <v>-7404.682635035836</v>
      </c>
      <c r="T166" s="446">
        <f t="shared" si="65"/>
        <v>-7509.6018414242553</v>
      </c>
      <c r="U166" s="446">
        <f t="shared" si="65"/>
        <v>-7600.9524036434414</v>
      </c>
      <c r="V166" s="446">
        <f t="shared" si="65"/>
        <v>-7679.3191120391139</v>
      </c>
      <c r="W166" s="446">
        <f t="shared" si="65"/>
        <v>-7745.26616134917</v>
      </c>
      <c r="X166" s="446">
        <f t="shared" si="65"/>
        <v>-7799.3378264179009</v>
      </c>
      <c r="Y166" s="446">
        <f t="shared" si="65"/>
        <v>-7842.0591164309253</v>
      </c>
      <c r="Z166" s="446">
        <f t="shared" si="65"/>
        <v>-7873.9364083415612</v>
      </c>
      <c r="AA166" s="446">
        <f t="shared" si="65"/>
        <v>-7895.4580601390626</v>
      </c>
      <c r="AB166" s="446">
        <f t="shared" si="65"/>
        <v>-7907.0950045892223</v>
      </c>
      <c r="AC166" s="446">
        <f t="shared" si="65"/>
        <v>-7909.3013240574928</v>
      </c>
    </row>
    <row r="167" spans="1:29" ht="15.75">
      <c r="A167" s="25"/>
      <c r="B167" s="25"/>
      <c r="C167" s="427" t="s">
        <v>600</v>
      </c>
      <c r="D167" s="440">
        <f t="shared" si="64"/>
        <v>897.15468094907408</v>
      </c>
      <c r="F167" s="446">
        <f t="shared" ref="F167:AC167" si="66">F146*F$127</f>
        <v>0</v>
      </c>
      <c r="G167" s="446">
        <f t="shared" si="66"/>
        <v>0</v>
      </c>
      <c r="H167" s="446">
        <f t="shared" si="66"/>
        <v>26527.516038692604</v>
      </c>
      <c r="I167" s="446">
        <f t="shared" si="66"/>
        <v>28330.35693452608</v>
      </c>
      <c r="J167" s="446">
        <f t="shared" si="66"/>
        <v>30055.683173257145</v>
      </c>
      <c r="K167" s="446">
        <f t="shared" si="66"/>
        <v>31705.995227695556</v>
      </c>
      <c r="L167" s="446">
        <f t="shared" si="66"/>
        <v>33283.718384410487</v>
      </c>
      <c r="M167" s="446">
        <f t="shared" si="66"/>
        <v>34791.204956503912</v>
      </c>
      <c r="N167" s="446">
        <f t="shared" si="66"/>
        <v>36230.736431712096</v>
      </c>
      <c r="O167" s="446">
        <f t="shared" si="66"/>
        <v>37604.525557720932</v>
      </c>
      <c r="P167" s="446">
        <f t="shared" si="66"/>
        <v>38914.718366526438</v>
      </c>
      <c r="Q167" s="446">
        <f t="shared" si="66"/>
        <v>40163.396139616867</v>
      </c>
      <c r="R167" s="446">
        <f t="shared" si="66"/>
        <v>41352.577315703522</v>
      </c>
      <c r="S167" s="446">
        <f t="shared" si="66"/>
        <v>42484.219342674645</v>
      </c>
      <c r="T167" s="446">
        <f t="shared" si="66"/>
        <v>43560.220475399488</v>
      </c>
      <c r="U167" s="446">
        <f t="shared" si="66"/>
        <v>44582.421520961463</v>
      </c>
      <c r="V167" s="446">
        <f t="shared" si="66"/>
        <v>45552.607532854119</v>
      </c>
      <c r="W167" s="446">
        <f t="shared" si="66"/>
        <v>46472.509455627878</v>
      </c>
      <c r="X167" s="446">
        <f t="shared" si="66"/>
        <v>47343.805721432873</v>
      </c>
      <c r="Y167" s="446">
        <f t="shared" si="66"/>
        <v>48168.123799861271</v>
      </c>
      <c r="Z167" s="446">
        <f t="shared" si="66"/>
        <v>48947.041702450573</v>
      </c>
      <c r="AA167" s="446">
        <f t="shared" si="66"/>
        <v>49682.08944317104</v>
      </c>
      <c r="AB167" s="446">
        <f t="shared" si="66"/>
        <v>50374.750456180707</v>
      </c>
      <c r="AC167" s="446">
        <f t="shared" si="66"/>
        <v>51026.462972094538</v>
      </c>
    </row>
    <row r="168" spans="1:29" ht="15.75">
      <c r="A168" s="25"/>
      <c r="B168" s="25"/>
      <c r="C168" s="427" t="s">
        <v>202</v>
      </c>
      <c r="D168" s="440">
        <f t="shared" si="64"/>
        <v>40.658042164687124</v>
      </c>
      <c r="F168" s="446">
        <f t="shared" ref="F168:AC168" si="67">F147*F$127</f>
        <v>0</v>
      </c>
      <c r="G168" s="446">
        <f t="shared" si="67"/>
        <v>0</v>
      </c>
      <c r="H168" s="446">
        <f t="shared" si="67"/>
        <v>1260.2650702330193</v>
      </c>
      <c r="I168" s="446">
        <f t="shared" si="67"/>
        <v>1347.2722884674918</v>
      </c>
      <c r="J168" s="446">
        <f t="shared" si="67"/>
        <v>1430.7676194302937</v>
      </c>
      <c r="K168" s="446">
        <f t="shared" si="67"/>
        <v>1510.8599611164975</v>
      </c>
      <c r="L168" s="446">
        <f t="shared" si="67"/>
        <v>1587.6550348997328</v>
      </c>
      <c r="M168" s="446">
        <f t="shared" si="67"/>
        <v>1661.2554766542603</v>
      </c>
      <c r="N168" s="446">
        <f t="shared" si="67"/>
        <v>1731.7609252741215</v>
      </c>
      <c r="O168" s="446">
        <f t="shared" si="67"/>
        <v>1799.2681086636878</v>
      </c>
      <c r="P168" s="446">
        <f t="shared" si="67"/>
        <v>1863.8709272718143</v>
      </c>
      <c r="Q168" s="446">
        <f t="shared" si="67"/>
        <v>1925.6605352397194</v>
      </c>
      <c r="R168" s="446">
        <f t="shared" si="67"/>
        <v>1984.7254192307594</v>
      </c>
      <c r="S168" s="446">
        <f t="shared" si="67"/>
        <v>2041.151475008249</v>
      </c>
      <c r="T168" s="446">
        <f t="shared" si="67"/>
        <v>2095.0220818256512</v>
      </c>
      <c r="U168" s="446">
        <f t="shared" si="67"/>
        <v>2146.4181746915656</v>
      </c>
      <c r="V168" s="446">
        <f t="shared" si="67"/>
        <v>2195.4183145702405</v>
      </c>
      <c r="W168" s="446">
        <f t="shared" si="67"/>
        <v>2242.0987565764894</v>
      </c>
      <c r="X168" s="446">
        <f t="shared" si="67"/>
        <v>2286.5335162223114</v>
      </c>
      <c r="Y168" s="446">
        <f t="shared" si="67"/>
        <v>2328.7944337708327</v>
      </c>
      <c r="Z168" s="446">
        <f t="shared" si="67"/>
        <v>2368.9512367515681</v>
      </c>
      <c r="AA168" s="446">
        <f t="shared" si="67"/>
        <v>2407.0716006895532</v>
      </c>
      <c r="AB168" s="446">
        <f t="shared" si="67"/>
        <v>2443.2212080992686</v>
      </c>
      <c r="AC168" s="446">
        <f t="shared" si="67"/>
        <v>0</v>
      </c>
    </row>
    <row r="169" spans="1:29" ht="15.75">
      <c r="A169" s="25"/>
      <c r="B169" s="25"/>
      <c r="C169" s="427" t="s">
        <v>203</v>
      </c>
      <c r="D169" s="440">
        <f t="shared" si="64"/>
        <v>138.92630520897467</v>
      </c>
      <c r="F169" s="446">
        <f t="shared" ref="F169:AC169" si="68">F148*F$127</f>
        <v>0</v>
      </c>
      <c r="G169" s="446">
        <f t="shared" si="68"/>
        <v>0</v>
      </c>
      <c r="H169" s="446">
        <f t="shared" si="68"/>
        <v>4107.8421234214948</v>
      </c>
      <c r="I169" s="446">
        <f t="shared" si="68"/>
        <v>4387.0158599647029</v>
      </c>
      <c r="J169" s="446">
        <f t="shared" si="68"/>
        <v>4654.1862874471071</v>
      </c>
      <c r="K169" s="446">
        <f t="shared" si="68"/>
        <v>4909.7406093867985</v>
      </c>
      <c r="L169" s="446">
        <f t="shared" si="68"/>
        <v>5154.0543865530435</v>
      </c>
      <c r="M169" s="446">
        <f t="shared" si="68"/>
        <v>5387.4918796189349</v>
      </c>
      <c r="N169" s="446">
        <f t="shared" si="68"/>
        <v>5610.4063817994684</v>
      </c>
      <c r="O169" s="446">
        <f t="shared" si="68"/>
        <v>5823.1405417670385</v>
      </c>
      <c r="P169" s="446">
        <f t="shared" si="68"/>
        <v>6026.0266771279585</v>
      </c>
      <c r="Q169" s="446">
        <f t="shared" si="68"/>
        <v>6219.3870787350806</v>
      </c>
      <c r="R169" s="446">
        <f t="shared" si="68"/>
        <v>6403.5343061039594</v>
      </c>
      <c r="S169" s="446">
        <f t="shared" si="68"/>
        <v>6578.7714741918307</v>
      </c>
      <c r="T169" s="446">
        <f t="shared" si="68"/>
        <v>6745.3925317913945</v>
      </c>
      <c r="U169" s="446">
        <f t="shared" si="68"/>
        <v>6903.6825317838675</v>
      </c>
      <c r="V169" s="446">
        <f t="shared" si="68"/>
        <v>7053.9178934888223</v>
      </c>
      <c r="W169" s="446">
        <f t="shared" si="68"/>
        <v>7196.3666573412211</v>
      </c>
      <c r="X169" s="446">
        <f t="shared" si="68"/>
        <v>7331.2887321194667</v>
      </c>
      <c r="Y169" s="446">
        <f t="shared" si="68"/>
        <v>7458.9361349417677</v>
      </c>
      <c r="Z169" s="446">
        <f t="shared" si="68"/>
        <v>7579.5532242416666</v>
      </c>
      <c r="AA169" s="446">
        <f t="shared" si="68"/>
        <v>7693.3769259276132</v>
      </c>
      <c r="AB169" s="446">
        <f t="shared" si="68"/>
        <v>7800.6369529253434</v>
      </c>
      <c r="AC169" s="446">
        <f t="shared" si="68"/>
        <v>7901.5560182960717</v>
      </c>
    </row>
    <row r="170" spans="1:29" ht="15.75">
      <c r="A170" s="25"/>
      <c r="B170" s="25"/>
      <c r="C170" s="427" t="s">
        <v>204</v>
      </c>
      <c r="D170" s="440">
        <f t="shared" si="64"/>
        <v>538.64042730199537</v>
      </c>
      <c r="F170" s="446">
        <f t="shared" ref="F170:AC170" si="69">F149*F$127</f>
        <v>0</v>
      </c>
      <c r="G170" s="446">
        <f t="shared" si="69"/>
        <v>0</v>
      </c>
      <c r="H170" s="446">
        <f t="shared" si="69"/>
        <v>21016.675429031588</v>
      </c>
      <c r="I170" s="446">
        <f t="shared" si="69"/>
        <v>21560.943478664685</v>
      </c>
      <c r="J170" s="446">
        <f t="shared" si="69"/>
        <v>21949.341022991757</v>
      </c>
      <c r="K170" s="446">
        <f t="shared" si="69"/>
        <v>22192.184185118309</v>
      </c>
      <c r="L170" s="446">
        <f t="shared" si="69"/>
        <v>22299.136654100177</v>
      </c>
      <c r="M170" s="446">
        <f t="shared" si="69"/>
        <v>22279.261353678019</v>
      </c>
      <c r="N170" s="446">
        <f t="shared" si="69"/>
        <v>22439.593037876792</v>
      </c>
      <c r="O170" s="446">
        <f t="shared" si="69"/>
        <v>22500.085515338211</v>
      </c>
      <c r="P170" s="446">
        <f t="shared" si="69"/>
        <v>23114.44019641398</v>
      </c>
      <c r="Q170" s="446">
        <f t="shared" si="69"/>
        <v>23681.115332463327</v>
      </c>
      <c r="R170" s="446">
        <f t="shared" si="69"/>
        <v>24202.097282470262</v>
      </c>
      <c r="S170" s="446">
        <f t="shared" si="69"/>
        <v>24679.301706929462</v>
      </c>
      <c r="T170" s="446">
        <f t="shared" si="69"/>
        <v>25114.575938097296</v>
      </c>
      <c r="U170" s="446">
        <f t="shared" si="69"/>
        <v>25509.701272932121</v>
      </c>
      <c r="V170" s="446">
        <f t="shared" si="69"/>
        <v>25866.395191208012</v>
      </c>
      <c r="W170" s="446">
        <f t="shared" si="69"/>
        <v>26186.313501206085</v>
      </c>
      <c r="X170" s="446">
        <f t="shared" si="69"/>
        <v>26471.052415311824</v>
      </c>
      <c r="Y170" s="446">
        <f t="shared" si="69"/>
        <v>26722.150557772598</v>
      </c>
      <c r="Z170" s="446">
        <f t="shared" si="69"/>
        <v>27143.133470393183</v>
      </c>
      <c r="AA170" s="446">
        <f t="shared" si="69"/>
        <v>27539.456029341567</v>
      </c>
      <c r="AB170" s="446">
        <f t="shared" si="69"/>
        <v>27911.970605800914</v>
      </c>
      <c r="AC170" s="446">
        <f t="shared" si="69"/>
        <v>28261.503124855211</v>
      </c>
    </row>
    <row r="171" spans="1:29" ht="15.75">
      <c r="A171" s="25"/>
      <c r="B171" s="25"/>
      <c r="C171" s="427" t="s">
        <v>601</v>
      </c>
      <c r="D171" s="440">
        <f t="shared" si="64"/>
        <v>1.1788668846996206</v>
      </c>
      <c r="F171" s="446">
        <f t="shared" ref="F171:AC171" si="70">F150*F$127</f>
        <v>0</v>
      </c>
      <c r="G171" s="446">
        <f t="shared" si="70"/>
        <v>0</v>
      </c>
      <c r="H171" s="446">
        <f t="shared" si="70"/>
        <v>34.857322661762829</v>
      </c>
      <c r="I171" s="446">
        <f t="shared" si="70"/>
        <v>37.22626692032923</v>
      </c>
      <c r="J171" s="446">
        <f t="shared" si="70"/>
        <v>39.493356432688202</v>
      </c>
      <c r="K171" s="446">
        <f t="shared" si="70"/>
        <v>41.661876835814169</v>
      </c>
      <c r="L171" s="446">
        <f t="shared" si="70"/>
        <v>43.735014971489306</v>
      </c>
      <c r="M171" s="446">
        <f t="shared" si="70"/>
        <v>45.715861793901595</v>
      </c>
      <c r="N171" s="446">
        <f t="shared" si="70"/>
        <v>47.607415192263737</v>
      </c>
      <c r="O171" s="446">
        <f t="shared" si="70"/>
        <v>49.412582730930566</v>
      </c>
      <c r="P171" s="446">
        <f t="shared" si="70"/>
        <v>51.134184309421414</v>
      </c>
      <c r="Q171" s="446">
        <f t="shared" si="70"/>
        <v>52.774954744681864</v>
      </c>
      <c r="R171" s="446">
        <f t="shared" si="70"/>
        <v>54.337546277853939</v>
      </c>
      <c r="S171" s="446">
        <f t="shared" si="70"/>
        <v>55.824531007755091</v>
      </c>
      <c r="T171" s="446">
        <f t="shared" si="70"/>
        <v>57.23840325320414</v>
      </c>
      <c r="U171" s="446">
        <f t="shared" si="70"/>
        <v>58.58158184626857</v>
      </c>
      <c r="V171" s="446">
        <f t="shared" si="70"/>
        <v>59.856412358448637</v>
      </c>
      <c r="W171" s="446">
        <f t="shared" si="70"/>
        <v>61.065169261753518</v>
      </c>
      <c r="X171" s="446">
        <f t="shared" si="70"/>
        <v>62.210058026568696</v>
      </c>
      <c r="Y171" s="446">
        <f t="shared" si="70"/>
        <v>63.293217158158434</v>
      </c>
      <c r="Z171" s="446">
        <f t="shared" si="70"/>
        <v>64.316720173592557</v>
      </c>
      <c r="AA171" s="446">
        <f t="shared" si="70"/>
        <v>65.282577520836128</v>
      </c>
      <c r="AB171" s="446">
        <f t="shared" si="70"/>
        <v>66.192738441688462</v>
      </c>
      <c r="AC171" s="446">
        <f t="shared" si="70"/>
        <v>67.049092780209378</v>
      </c>
    </row>
    <row r="172" spans="1:29" ht="15.75">
      <c r="A172" s="25"/>
      <c r="B172" s="25"/>
      <c r="C172" s="427" t="s">
        <v>205</v>
      </c>
      <c r="D172" s="440">
        <f t="shared" si="64"/>
        <v>764.05640262519694</v>
      </c>
      <c r="F172" s="446">
        <f t="shared" ref="F172:AC172" si="71">F151*F$127</f>
        <v>0</v>
      </c>
      <c r="G172" s="446">
        <f t="shared" si="71"/>
        <v>0</v>
      </c>
      <c r="H172" s="446">
        <f t="shared" si="71"/>
        <v>22591.999914289252</v>
      </c>
      <c r="I172" s="446">
        <f t="shared" si="71"/>
        <v>24127.378549240944</v>
      </c>
      <c r="J172" s="446">
        <f t="shared" si="71"/>
        <v>25596.742291427719</v>
      </c>
      <c r="K172" s="446">
        <f t="shared" si="71"/>
        <v>27002.220653519435</v>
      </c>
      <c r="L172" s="446">
        <f t="shared" si="71"/>
        <v>28345.879116275097</v>
      </c>
      <c r="M172" s="446">
        <f t="shared" si="71"/>
        <v>29629.721013038128</v>
      </c>
      <c r="N172" s="446">
        <f t="shared" si="71"/>
        <v>30855.689359154065</v>
      </c>
      <c r="O172" s="446">
        <f t="shared" si="71"/>
        <v>32025.668627916875</v>
      </c>
      <c r="P172" s="446">
        <f t="shared" si="71"/>
        <v>33141.4864746034</v>
      </c>
      <c r="Q172" s="446">
        <f t="shared" si="71"/>
        <v>34204.915410108966</v>
      </c>
      <c r="R172" s="446">
        <f t="shared" si="71"/>
        <v>35217.674425654863</v>
      </c>
      <c r="S172" s="446">
        <f t="shared" si="71"/>
        <v>36181.430569993725</v>
      </c>
      <c r="T172" s="446">
        <f t="shared" si="71"/>
        <v>37097.800480498649</v>
      </c>
      <c r="U172" s="446">
        <f t="shared" si="71"/>
        <v>37968.351869480524</v>
      </c>
      <c r="V172" s="446">
        <f t="shared" si="71"/>
        <v>38794.604967039806</v>
      </c>
      <c r="W172" s="446">
        <f t="shared" si="71"/>
        <v>39578.033921720154</v>
      </c>
      <c r="X172" s="446">
        <f t="shared" si="71"/>
        <v>40320.068160194496</v>
      </c>
      <c r="Y172" s="446">
        <f t="shared" si="71"/>
        <v>41022.093707178923</v>
      </c>
      <c r="Z172" s="446">
        <f t="shared" si="71"/>
        <v>41685.45446673398</v>
      </c>
      <c r="AA172" s="446">
        <f t="shared" si="71"/>
        <v>42311.453466079918</v>
      </c>
      <c r="AB172" s="446">
        <f t="shared" si="71"/>
        <v>42901.354063019389</v>
      </c>
      <c r="AC172" s="446">
        <f t="shared" si="71"/>
        <v>43456.38111802865</v>
      </c>
    </row>
    <row r="173" spans="1:29" ht="15.75">
      <c r="A173" s="25"/>
      <c r="B173" s="25"/>
      <c r="C173" s="426"/>
      <c r="D173" s="441"/>
      <c r="F173" s="437">
        <f>SUM(F166:F172)</f>
        <v>0</v>
      </c>
      <c r="G173" s="437">
        <f t="shared" ref="G173:AC173" si="72">SUM(G166:G172)</f>
        <v>0</v>
      </c>
      <c r="H173" s="437">
        <f t="shared" si="72"/>
        <v>70374.196489799258</v>
      </c>
      <c r="I173" s="437">
        <f t="shared" si="72"/>
        <v>74325.826470496773</v>
      </c>
      <c r="J173" s="437">
        <f t="shared" si="72"/>
        <v>77984.016942823568</v>
      </c>
      <c r="K173" s="437">
        <f t="shared" si="72"/>
        <v>81363.350580708211</v>
      </c>
      <c r="L173" s="437">
        <f t="shared" si="72"/>
        <v>84477.633148578898</v>
      </c>
      <c r="M173" s="437">
        <f t="shared" si="72"/>
        <v>87339.948741141212</v>
      </c>
      <c r="N173" s="437">
        <f t="shared" si="72"/>
        <v>90261.235848001234</v>
      </c>
      <c r="O173" s="437">
        <f t="shared" si="72"/>
        <v>92965.237947915928</v>
      </c>
      <c r="P173" s="437">
        <f t="shared" si="72"/>
        <v>96109.335329529044</v>
      </c>
      <c r="Q173" s="437">
        <f t="shared" si="72"/>
        <v>99095.557510784245</v>
      </c>
      <c r="R173" s="437">
        <f t="shared" si="72"/>
        <v>101929.357594803</v>
      </c>
      <c r="S173" s="437">
        <f t="shared" si="72"/>
        <v>104616.01646476984</v>
      </c>
      <c r="T173" s="437">
        <f t="shared" si="72"/>
        <v>107160.64806944141</v>
      </c>
      <c r="U173" s="437">
        <f t="shared" si="72"/>
        <v>109568.20454805237</v>
      </c>
      <c r="V173" s="437">
        <f t="shared" si="72"/>
        <v>111843.48119948033</v>
      </c>
      <c r="W173" s="437">
        <f t="shared" si="72"/>
        <v>113991.1213003844</v>
      </c>
      <c r="X173" s="437">
        <f t="shared" si="72"/>
        <v>116015.62077688964</v>
      </c>
      <c r="Y173" s="437">
        <f t="shared" si="72"/>
        <v>117921.33273425263</v>
      </c>
      <c r="Z173" s="437">
        <f t="shared" si="72"/>
        <v>119914.514412403</v>
      </c>
      <c r="AA173" s="437">
        <f t="shared" si="72"/>
        <v>121803.27198259145</v>
      </c>
      <c r="AB173" s="437">
        <f t="shared" si="72"/>
        <v>123591.03101987809</v>
      </c>
      <c r="AC173" s="437">
        <f t="shared" si="72"/>
        <v>122803.6510019972</v>
      </c>
    </row>
    <row r="174" spans="1:29" ht="15.75">
      <c r="A174" s="25"/>
      <c r="B174" s="25"/>
      <c r="C174" s="425" t="s">
        <v>184</v>
      </c>
      <c r="D174" s="442">
        <f>NPV(0.03,F154:AC154)/1000</f>
        <v>1489.2046472819429</v>
      </c>
    </row>
    <row r="175" spans="1:29" ht="15.75">
      <c r="A175" s="25"/>
      <c r="B175" s="25"/>
      <c r="C175" s="425" t="s">
        <v>185</v>
      </c>
      <c r="D175" s="443">
        <f>IRR(F175:AC175)</f>
        <v>0.24253213171585</v>
      </c>
      <c r="F175" s="430">
        <f>F164+F173</f>
        <v>0</v>
      </c>
      <c r="G175" s="430">
        <f t="shared" ref="G175:AC175" si="73">G164+G173</f>
        <v>-259798.28447544537</v>
      </c>
      <c r="H175" s="430">
        <f t="shared" si="73"/>
        <v>47080.013091325774</v>
      </c>
      <c r="I175" s="430">
        <f t="shared" si="73"/>
        <v>57647.501707574571</v>
      </c>
      <c r="J175" s="430">
        <f t="shared" si="73"/>
        <v>60649.920905719249</v>
      </c>
      <c r="K175" s="430">
        <f t="shared" si="73"/>
        <v>63403.666391228908</v>
      </c>
      <c r="L175" s="430">
        <f t="shared" si="73"/>
        <v>65921.557206657671</v>
      </c>
      <c r="M175" s="430">
        <f t="shared" si="73"/>
        <v>68215.720508986982</v>
      </c>
      <c r="N175" s="430">
        <f t="shared" si="73"/>
        <v>70596.166756606719</v>
      </c>
      <c r="O175" s="430">
        <f t="shared" si="73"/>
        <v>72785.739451584406</v>
      </c>
      <c r="P175" s="430">
        <f t="shared" si="73"/>
        <v>75440.946133332458</v>
      </c>
      <c r="Q175" s="430">
        <f t="shared" si="73"/>
        <v>77962.969995138599</v>
      </c>
      <c r="R175" s="430">
        <f t="shared" si="73"/>
        <v>80356.443460641633</v>
      </c>
      <c r="S175" s="430">
        <f t="shared" si="73"/>
        <v>82625.851622110204</v>
      </c>
      <c r="T175" s="430">
        <f t="shared" si="73"/>
        <v>84775.536791476436</v>
      </c>
      <c r="U175" s="430">
        <f t="shared" si="73"/>
        <v>86809.702912251552</v>
      </c>
      <c r="V175" s="430">
        <f t="shared" si="73"/>
        <v>88732.419836559333</v>
      </c>
      <c r="W175" s="430">
        <f t="shared" si="73"/>
        <v>90547.627471393324</v>
      </c>
      <c r="X175" s="430">
        <f t="shared" si="73"/>
        <v>92259.139798079763</v>
      </c>
      <c r="Y175" s="430">
        <f t="shared" si="73"/>
        <v>93870.64876880731</v>
      </c>
      <c r="Z175" s="430">
        <f t="shared" si="73"/>
        <v>95587.770647562342</v>
      </c>
      <c r="AA175" s="430">
        <f t="shared" si="73"/>
        <v>97217.990210159332</v>
      </c>
      <c r="AB175" s="430">
        <f t="shared" si="73"/>
        <v>98764.130637575508</v>
      </c>
      <c r="AC175" s="430">
        <f t="shared" si="73"/>
        <v>97751.467452616504</v>
      </c>
    </row>
    <row r="176" spans="1:29" ht="15.75">
      <c r="A176" s="25"/>
      <c r="B176" s="25"/>
      <c r="C176" s="425" t="s">
        <v>186</v>
      </c>
      <c r="D176" s="444">
        <f>SUM(D166:D172)/SUM(D160:D163)</f>
        <v>3.0226889818858433</v>
      </c>
    </row>
    <row r="177" spans="1:29">
      <c r="A177" s="25"/>
      <c r="B177" s="25"/>
      <c r="C177" s="45"/>
      <c r="D177" s="25"/>
    </row>
    <row r="178" spans="1:29">
      <c r="A178" s="25"/>
      <c r="B178" s="25"/>
      <c r="C178" s="45"/>
      <c r="D178" s="25"/>
    </row>
    <row r="179" spans="1:29" ht="14.25">
      <c r="A179" s="36"/>
      <c r="B179" s="36"/>
      <c r="C179" s="436" t="s">
        <v>619</v>
      </c>
      <c r="D179" s="39"/>
      <c r="E179" s="39"/>
    </row>
    <row r="180" spans="1:29" ht="15.75">
      <c r="A180" s="25"/>
      <c r="B180" s="25"/>
      <c r="C180" s="425" t="s">
        <v>1</v>
      </c>
      <c r="D180" s="442">
        <f>SUM(D181:D184)</f>
        <v>527.11863060638086</v>
      </c>
      <c r="E180" s="39"/>
      <c r="F180" s="39"/>
    </row>
    <row r="181" spans="1:29" ht="15.75">
      <c r="A181" s="25"/>
      <c r="B181" s="25"/>
      <c r="C181" s="427" t="s">
        <v>199</v>
      </c>
      <c r="D181" s="440">
        <f>-SUM(F181:AC181)/1000</f>
        <v>247.25123934425159</v>
      </c>
      <c r="E181" s="39"/>
      <c r="F181" s="430">
        <f>F139*F$129</f>
        <v>0</v>
      </c>
      <c r="G181" s="430">
        <f t="shared" ref="G181:AC181" si="74">G139*G$129</f>
        <v>-240737.18228666257</v>
      </c>
      <c r="H181" s="430">
        <f t="shared" si="74"/>
        <v>-6514.0570575889978</v>
      </c>
      <c r="I181" s="430">
        <f t="shared" si="74"/>
        <v>0</v>
      </c>
      <c r="J181" s="430">
        <f t="shared" si="74"/>
        <v>0</v>
      </c>
      <c r="K181" s="430">
        <f t="shared" si="74"/>
        <v>0</v>
      </c>
      <c r="L181" s="430">
        <f t="shared" si="74"/>
        <v>0</v>
      </c>
      <c r="M181" s="430">
        <f t="shared" si="74"/>
        <v>0</v>
      </c>
      <c r="N181" s="430">
        <f t="shared" si="74"/>
        <v>0</v>
      </c>
      <c r="O181" s="430">
        <f t="shared" si="74"/>
        <v>0</v>
      </c>
      <c r="P181" s="430">
        <f t="shared" si="74"/>
        <v>0</v>
      </c>
      <c r="Q181" s="430">
        <f t="shared" si="74"/>
        <v>0</v>
      </c>
      <c r="R181" s="430">
        <f t="shared" si="74"/>
        <v>0</v>
      </c>
      <c r="S181" s="430">
        <f t="shared" si="74"/>
        <v>0</v>
      </c>
      <c r="T181" s="430">
        <f t="shared" si="74"/>
        <v>0</v>
      </c>
      <c r="U181" s="430">
        <f t="shared" si="74"/>
        <v>0</v>
      </c>
      <c r="V181" s="430">
        <f t="shared" si="74"/>
        <v>0</v>
      </c>
      <c r="W181" s="430">
        <f t="shared" si="74"/>
        <v>0</v>
      </c>
      <c r="X181" s="430">
        <f t="shared" si="74"/>
        <v>0</v>
      </c>
      <c r="Y181" s="430">
        <f t="shared" si="74"/>
        <v>0</v>
      </c>
      <c r="Z181" s="430">
        <f t="shared" si="74"/>
        <v>0</v>
      </c>
      <c r="AA181" s="430">
        <f t="shared" si="74"/>
        <v>0</v>
      </c>
      <c r="AB181" s="430">
        <f t="shared" si="74"/>
        <v>0</v>
      </c>
      <c r="AC181" s="430">
        <f t="shared" si="74"/>
        <v>0</v>
      </c>
    </row>
    <row r="182" spans="1:29" ht="15.75">
      <c r="A182" s="25"/>
      <c r="B182" s="25"/>
      <c r="C182" s="427" t="s">
        <v>200</v>
      </c>
      <c r="D182" s="440">
        <f>-SUM(F182:AC182)/1000</f>
        <v>43.475921249426669</v>
      </c>
      <c r="F182" s="430">
        <f t="shared" ref="F182:AC182" si="75">F140*F$129</f>
        <v>0</v>
      </c>
      <c r="G182" s="430">
        <f t="shared" si="75"/>
        <v>0</v>
      </c>
      <c r="H182" s="430">
        <f t="shared" si="75"/>
        <v>-3673.3404460088336</v>
      </c>
      <c r="I182" s="430">
        <f t="shared" si="75"/>
        <v>-3433.0284542138629</v>
      </c>
      <c r="J182" s="430">
        <f t="shared" si="75"/>
        <v>-3208.4378076765074</v>
      </c>
      <c r="K182" s="430">
        <f t="shared" si="75"/>
        <v>-2998.5400071743056</v>
      </c>
      <c r="L182" s="430">
        <f t="shared" si="75"/>
        <v>-2802.3738384806588</v>
      </c>
      <c r="M182" s="430">
        <f t="shared" si="75"/>
        <v>-2619.0409705426719</v>
      </c>
      <c r="N182" s="430">
        <f t="shared" si="75"/>
        <v>-2447.7018416286651</v>
      </c>
      <c r="O182" s="430">
        <f t="shared" si="75"/>
        <v>-2287.5718146062291</v>
      </c>
      <c r="P182" s="430">
        <f t="shared" si="75"/>
        <v>-2137.9175837441394</v>
      </c>
      <c r="Q182" s="430">
        <f t="shared" si="75"/>
        <v>-1998.0538165833075</v>
      </c>
      <c r="R182" s="430">
        <f t="shared" si="75"/>
        <v>-1867.3400154984181</v>
      </c>
      <c r="S182" s="430">
        <f t="shared" si="75"/>
        <v>-1745.1775845779607</v>
      </c>
      <c r="T182" s="430">
        <f t="shared" si="75"/>
        <v>-1631.0070883906176</v>
      </c>
      <c r="U182" s="430">
        <f t="shared" si="75"/>
        <v>-1524.3056900846891</v>
      </c>
      <c r="V182" s="430">
        <f t="shared" si="75"/>
        <v>-1424.5847570884946</v>
      </c>
      <c r="W182" s="430">
        <f t="shared" si="75"/>
        <v>-1331.3876234471911</v>
      </c>
      <c r="X182" s="430">
        <f t="shared" si="75"/>
        <v>-1244.2874985487767</v>
      </c>
      <c r="Y182" s="430">
        <f t="shared" si="75"/>
        <v>-1162.8855126624082</v>
      </c>
      <c r="Z182" s="430">
        <f t="shared" si="75"/>
        <v>-1086.808890338699</v>
      </c>
      <c r="AA182" s="430">
        <f t="shared" si="75"/>
        <v>-1015.7092433071954</v>
      </c>
      <c r="AB182" s="430">
        <f t="shared" si="75"/>
        <v>-949.26097505345365</v>
      </c>
      <c r="AC182" s="430">
        <f t="shared" si="75"/>
        <v>-887.15978976958274</v>
      </c>
    </row>
    <row r="183" spans="1:29" ht="15.75">
      <c r="A183" s="25"/>
      <c r="B183" s="25"/>
      <c r="C183" s="428" t="s">
        <v>563</v>
      </c>
      <c r="D183" s="440">
        <f>-SUM(F183:AC183)/1000</f>
        <v>0</v>
      </c>
      <c r="F183" s="430">
        <f t="shared" ref="F183:AC183" si="76">F141*F$129</f>
        <v>0</v>
      </c>
      <c r="G183" s="430">
        <f t="shared" si="76"/>
        <v>0</v>
      </c>
      <c r="H183" s="430">
        <f t="shared" si="76"/>
        <v>0</v>
      </c>
      <c r="I183" s="430">
        <f t="shared" si="76"/>
        <v>0</v>
      </c>
      <c r="J183" s="430">
        <f t="shared" si="76"/>
        <v>0</v>
      </c>
      <c r="K183" s="430">
        <f t="shared" si="76"/>
        <v>0</v>
      </c>
      <c r="L183" s="430">
        <f t="shared" si="76"/>
        <v>0</v>
      </c>
      <c r="M183" s="430">
        <f t="shared" si="76"/>
        <v>0</v>
      </c>
      <c r="N183" s="430">
        <f t="shared" si="76"/>
        <v>0</v>
      </c>
      <c r="O183" s="430">
        <f t="shared" si="76"/>
        <v>0</v>
      </c>
      <c r="P183" s="430">
        <f t="shared" si="76"/>
        <v>0</v>
      </c>
      <c r="Q183" s="430">
        <f t="shared" si="76"/>
        <v>0</v>
      </c>
      <c r="R183" s="430">
        <f t="shared" si="76"/>
        <v>0</v>
      </c>
      <c r="S183" s="430">
        <f t="shared" si="76"/>
        <v>0</v>
      </c>
      <c r="T183" s="430">
        <f t="shared" si="76"/>
        <v>0</v>
      </c>
      <c r="U183" s="430">
        <f t="shared" si="76"/>
        <v>0</v>
      </c>
      <c r="V183" s="430">
        <f t="shared" si="76"/>
        <v>0</v>
      </c>
      <c r="W183" s="430">
        <f t="shared" si="76"/>
        <v>0</v>
      </c>
      <c r="X183" s="430">
        <f t="shared" si="76"/>
        <v>0</v>
      </c>
      <c r="Y183" s="430">
        <f t="shared" si="76"/>
        <v>0</v>
      </c>
      <c r="Z183" s="430">
        <f t="shared" si="76"/>
        <v>0</v>
      </c>
      <c r="AA183" s="430">
        <f t="shared" si="76"/>
        <v>0</v>
      </c>
      <c r="AB183" s="430">
        <f t="shared" si="76"/>
        <v>0</v>
      </c>
      <c r="AC183" s="430">
        <f t="shared" si="76"/>
        <v>0</v>
      </c>
    </row>
    <row r="184" spans="1:29" ht="15.75">
      <c r="A184" s="25"/>
      <c r="B184" s="25"/>
      <c r="C184" s="427" t="s">
        <v>201</v>
      </c>
      <c r="D184" s="440">
        <f>-SUM(F184:AC184)/1000</f>
        <v>236.39147001270263</v>
      </c>
      <c r="F184" s="430">
        <f t="shared" ref="F184:AC184" si="77">F142*F$129</f>
        <v>0</v>
      </c>
      <c r="G184" s="430">
        <f t="shared" si="77"/>
        <v>0</v>
      </c>
      <c r="H184" s="430">
        <f t="shared" si="77"/>
        <v>-10590.798153586227</v>
      </c>
      <c r="I184" s="430">
        <f t="shared" si="77"/>
        <v>-10887.736419574625</v>
      </c>
      <c r="J184" s="430">
        <f t="shared" si="77"/>
        <v>-11118.99675134129</v>
      </c>
      <c r="K184" s="430">
        <f t="shared" si="77"/>
        <v>-11291.037147683594</v>
      </c>
      <c r="L184" s="430">
        <f t="shared" si="77"/>
        <v>-11409.792125631235</v>
      </c>
      <c r="M184" s="430">
        <f t="shared" si="77"/>
        <v>-11480.71168634998</v>
      </c>
      <c r="N184" s="430">
        <f t="shared" si="77"/>
        <v>-11508.79751133985</v>
      </c>
      <c r="O184" s="430">
        <f t="shared" si="77"/>
        <v>-11498.636580428818</v>
      </c>
      <c r="P184" s="430">
        <f t="shared" si="77"/>
        <v>-11454.432390053467</v>
      </c>
      <c r="Q184" s="430">
        <f t="shared" si="77"/>
        <v>-11380.033938181643</v>
      </c>
      <c r="R184" s="430">
        <f t="shared" si="77"/>
        <v>-11278.962630912103</v>
      </c>
      <c r="S184" s="430">
        <f t="shared" si="77"/>
        <v>-11154.437255225903</v>
      </c>
      <c r="T184" s="430">
        <f t="shared" si="77"/>
        <v>-11009.397152515448</v>
      </c>
      <c r="U184" s="430">
        <f t="shared" si="77"/>
        <v>-10846.523718330385</v>
      </c>
      <c r="V184" s="430">
        <f t="shared" si="77"/>
        <v>-10668.26034521228</v>
      </c>
      <c r="W184" s="430">
        <f t="shared" si="77"/>
        <v>-10476.830917499201</v>
      </c>
      <c r="X184" s="430">
        <f t="shared" si="77"/>
        <v>-10274.256959530301</v>
      </c>
      <c r="Y184" s="430">
        <f t="shared" si="77"/>
        <v>-10062.373531731688</v>
      </c>
      <c r="Z184" s="430">
        <f t="shared" si="77"/>
        <v>-9842.8439625853443</v>
      </c>
      <c r="AA184" s="430">
        <f t="shared" si="77"/>
        <v>-9617.1734984414707</v>
      </c>
      <c r="AB184" s="430">
        <f t="shared" si="77"/>
        <v>-9386.7219475013972</v>
      </c>
      <c r="AC184" s="430">
        <f t="shared" si="77"/>
        <v>-9152.715389046396</v>
      </c>
    </row>
    <row r="185" spans="1:29" ht="15.75">
      <c r="A185" s="25"/>
      <c r="B185" s="25"/>
      <c r="C185" s="426"/>
      <c r="D185" s="441"/>
      <c r="F185" s="438">
        <f>SUM(F181:F184)</f>
        <v>0</v>
      </c>
      <c r="G185" s="438">
        <f t="shared" ref="G185:AC185" si="78">SUM(G181:G184)</f>
        <v>-240737.18228666257</v>
      </c>
      <c r="H185" s="438">
        <f t="shared" si="78"/>
        <v>-20778.195657184056</v>
      </c>
      <c r="I185" s="438">
        <f t="shared" si="78"/>
        <v>-14320.764873788488</v>
      </c>
      <c r="J185" s="438">
        <f t="shared" si="78"/>
        <v>-14327.434559017798</v>
      </c>
      <c r="K185" s="438">
        <f t="shared" si="78"/>
        <v>-14289.5771548579</v>
      </c>
      <c r="L185" s="438">
        <f t="shared" si="78"/>
        <v>-14212.165964111893</v>
      </c>
      <c r="M185" s="438">
        <f t="shared" si="78"/>
        <v>-14099.752656892651</v>
      </c>
      <c r="N185" s="438">
        <f t="shared" si="78"/>
        <v>-13956.499352968514</v>
      </c>
      <c r="O185" s="438">
        <f t="shared" si="78"/>
        <v>-13786.208395035046</v>
      </c>
      <c r="P185" s="438">
        <f t="shared" si="78"/>
        <v>-13592.349973797607</v>
      </c>
      <c r="Q185" s="438">
        <f t="shared" si="78"/>
        <v>-13378.087754764951</v>
      </c>
      <c r="R185" s="438">
        <f t="shared" si="78"/>
        <v>-13146.302646410521</v>
      </c>
      <c r="S185" s="438">
        <f t="shared" si="78"/>
        <v>-12899.614839803864</v>
      </c>
      <c r="T185" s="438">
        <f t="shared" si="78"/>
        <v>-12640.404240906066</v>
      </c>
      <c r="U185" s="438">
        <f t="shared" si="78"/>
        <v>-12370.829408415075</v>
      </c>
      <c r="V185" s="438">
        <f t="shared" si="78"/>
        <v>-12092.845102300775</v>
      </c>
      <c r="W185" s="438">
        <f t="shared" si="78"/>
        <v>-11808.218540946393</v>
      </c>
      <c r="X185" s="438">
        <f t="shared" si="78"/>
        <v>-11518.544458079077</v>
      </c>
      <c r="Y185" s="438">
        <f t="shared" si="78"/>
        <v>-11225.259044394095</v>
      </c>
      <c r="Z185" s="438">
        <f t="shared" si="78"/>
        <v>-10929.652852924044</v>
      </c>
      <c r="AA185" s="438">
        <f t="shared" si="78"/>
        <v>-10632.882741748666</v>
      </c>
      <c r="AB185" s="438">
        <f t="shared" si="78"/>
        <v>-10335.982922554851</v>
      </c>
      <c r="AC185" s="438">
        <f t="shared" si="78"/>
        <v>-10039.875178815979</v>
      </c>
    </row>
    <row r="186" spans="1:29" ht="15.75">
      <c r="A186" s="25"/>
      <c r="B186" s="25"/>
      <c r="C186" s="425" t="s">
        <v>0</v>
      </c>
      <c r="D186" s="442">
        <f>SUM(D187:D193)</f>
        <v>1316.3935166470062</v>
      </c>
      <c r="F186" s="430"/>
      <c r="G186" s="430"/>
      <c r="H186" s="430"/>
      <c r="I186" s="430"/>
      <c r="J186" s="430"/>
      <c r="K186" s="430"/>
      <c r="L186" s="430"/>
      <c r="M186" s="430"/>
      <c r="N186" s="430"/>
      <c r="O186" s="430"/>
      <c r="P186" s="430"/>
      <c r="Q186" s="430"/>
      <c r="R186" s="430"/>
      <c r="S186" s="430"/>
      <c r="T186" s="430"/>
      <c r="U186" s="430"/>
      <c r="V186" s="430"/>
      <c r="W186" s="430"/>
      <c r="X186" s="430"/>
      <c r="Y186" s="430"/>
      <c r="Z186" s="430"/>
      <c r="AA186" s="430"/>
      <c r="AB186" s="430"/>
      <c r="AC186" s="430"/>
    </row>
    <row r="187" spans="1:29" ht="15.75">
      <c r="A187" s="25"/>
      <c r="B187" s="25"/>
      <c r="C187" s="427" t="s">
        <v>599</v>
      </c>
      <c r="D187" s="440">
        <f t="shared" ref="D187:D193" si="79">SUM(F187:AC187)/1000</f>
        <v>-92.810745494959136</v>
      </c>
      <c r="F187" s="430">
        <f>F145*F$129</f>
        <v>0</v>
      </c>
      <c r="G187" s="430">
        <f t="shared" ref="G187:AC187" si="80">G145*G$129</f>
        <v>0</v>
      </c>
      <c r="H187" s="430">
        <f t="shared" si="80"/>
        <v>-4607.0959138620246</v>
      </c>
      <c r="I187" s="430">
        <f t="shared" si="80"/>
        <v>-4691.9528655145186</v>
      </c>
      <c r="J187" s="430">
        <f t="shared" si="80"/>
        <v>-4746.1920608870496</v>
      </c>
      <c r="K187" s="430">
        <f t="shared" si="80"/>
        <v>-4773.3373169429415</v>
      </c>
      <c r="L187" s="430">
        <f t="shared" si="80"/>
        <v>-4776.5928071655908</v>
      </c>
      <c r="M187" s="430">
        <f t="shared" si="80"/>
        <v>-4758.869103174572</v>
      </c>
      <c r="N187" s="430">
        <f t="shared" si="80"/>
        <v>-4722.8072194752012</v>
      </c>
      <c r="O187" s="430">
        <f t="shared" si="80"/>
        <v>-4670.8008087262124</v>
      </c>
      <c r="P187" s="430">
        <f t="shared" si="80"/>
        <v>-4605.0166443078433</v>
      </c>
      <c r="Q187" s="430">
        <f t="shared" si="80"/>
        <v>-4527.4135171187672</v>
      </c>
      <c r="R187" s="430">
        <f t="shared" si="80"/>
        <v>-4439.7596643742372</v>
      </c>
      <c r="S187" s="430">
        <f t="shared" si="80"/>
        <v>-4343.6488396688965</v>
      </c>
      <c r="T187" s="430">
        <f t="shared" si="80"/>
        <v>-4240.5151256627896</v>
      </c>
      <c r="U187" s="430">
        <f t="shared" si="80"/>
        <v>-4131.6465834042092</v>
      </c>
      <c r="V187" s="430">
        <f t="shared" si="80"/>
        <v>-4018.1978254801247</v>
      </c>
      <c r="W187" s="430">
        <f t="shared" si="80"/>
        <v>-3901.2015938472414</v>
      </c>
      <c r="X187" s="430">
        <f t="shared" si="80"/>
        <v>-3781.5794173095146</v>
      </c>
      <c r="Y187" s="430">
        <f t="shared" si="80"/>
        <v>-3660.1514181411553</v>
      </c>
      <c r="Z187" s="430">
        <f t="shared" si="80"/>
        <v>-3537.6453322764119</v>
      </c>
      <c r="AA187" s="430">
        <f t="shared" si="80"/>
        <v>-3414.7048027730652</v>
      </c>
      <c r="AB187" s="430">
        <f t="shared" si="80"/>
        <v>-3291.897001879101</v>
      </c>
      <c r="AC187" s="430">
        <f t="shared" si="80"/>
        <v>-3169.719632967649</v>
      </c>
    </row>
    <row r="188" spans="1:29" ht="15.75">
      <c r="A188" s="25"/>
      <c r="B188" s="25"/>
      <c r="C188" s="427" t="s">
        <v>600</v>
      </c>
      <c r="D188" s="440">
        <f t="shared" si="79"/>
        <v>528.15334797787068</v>
      </c>
      <c r="F188" s="430">
        <f t="shared" ref="F188:AC188" si="81">F146*F$129</f>
        <v>0</v>
      </c>
      <c r="G188" s="430">
        <f t="shared" si="81"/>
        <v>0</v>
      </c>
      <c r="H188" s="430">
        <f t="shared" si="81"/>
        <v>23662.298399658175</v>
      </c>
      <c r="I188" s="430">
        <f t="shared" si="81"/>
        <v>24325.727326751396</v>
      </c>
      <c r="J188" s="430">
        <f t="shared" si="81"/>
        <v>24842.416522306859</v>
      </c>
      <c r="K188" s="430">
        <f t="shared" si="81"/>
        <v>25226.794652832228</v>
      </c>
      <c r="L188" s="430">
        <f t="shared" si="81"/>
        <v>25492.120805204464</v>
      </c>
      <c r="M188" s="430">
        <f t="shared" si="81"/>
        <v>25650.571545532406</v>
      </c>
      <c r="N188" s="430">
        <f t="shared" si="81"/>
        <v>25713.321789855192</v>
      </c>
      <c r="O188" s="430">
        <f t="shared" si="81"/>
        <v>25690.619914533952</v>
      </c>
      <c r="P188" s="430">
        <f t="shared" si="81"/>
        <v>25591.857505128326</v>
      </c>
      <c r="Q188" s="430">
        <f t="shared" si="81"/>
        <v>25425.634115433419</v>
      </c>
      <c r="R188" s="430">
        <f t="shared" si="81"/>
        <v>25199.817383061305</v>
      </c>
      <c r="S188" s="430">
        <f t="shared" si="81"/>
        <v>24921.598824357246</v>
      </c>
      <c r="T188" s="430">
        <f t="shared" si="81"/>
        <v>24597.545609435976</v>
      </c>
      <c r="U188" s="430">
        <f t="shared" si="81"/>
        <v>24233.648597598487</v>
      </c>
      <c r="V188" s="430">
        <f t="shared" si="81"/>
        <v>23835.366894248124</v>
      </c>
      <c r="W188" s="430">
        <f t="shared" si="81"/>
        <v>23407.669172571797</v>
      </c>
      <c r="X188" s="430">
        <f t="shared" si="81"/>
        <v>22955.071986604577</v>
      </c>
      <c r="Y188" s="430">
        <f t="shared" si="81"/>
        <v>22481.67528677082</v>
      </c>
      <c r="Z188" s="430">
        <f t="shared" si="81"/>
        <v>21991.195334518103</v>
      </c>
      <c r="AA188" s="430">
        <f t="shared" si="81"/>
        <v>21486.995199162528</v>
      </c>
      <c r="AB188" s="430">
        <f t="shared" si="81"/>
        <v>20972.113007477899</v>
      </c>
      <c r="AC188" s="430">
        <f t="shared" si="81"/>
        <v>20449.288104827443</v>
      </c>
    </row>
    <row r="189" spans="1:29" ht="15.75">
      <c r="A189" s="25"/>
      <c r="B189" s="25"/>
      <c r="C189" s="427" t="s">
        <v>202</v>
      </c>
      <c r="D189" s="440">
        <f t="shared" si="79"/>
        <v>24.36229194431829</v>
      </c>
      <c r="F189" s="430">
        <f t="shared" ref="F189:AC189" si="82">F147*F$129</f>
        <v>0</v>
      </c>
      <c r="G189" s="430">
        <f t="shared" si="82"/>
        <v>0</v>
      </c>
      <c r="H189" s="430">
        <f t="shared" si="82"/>
        <v>1124.1447601435348</v>
      </c>
      <c r="I189" s="430">
        <f t="shared" si="82"/>
        <v>1156.828994420744</v>
      </c>
      <c r="J189" s="430">
        <f t="shared" si="82"/>
        <v>1182.5958153612282</v>
      </c>
      <c r="K189" s="430">
        <f t="shared" si="82"/>
        <v>1202.11189444004</v>
      </c>
      <c r="L189" s="430">
        <f t="shared" si="82"/>
        <v>1215.9907579800879</v>
      </c>
      <c r="M189" s="430">
        <f t="shared" si="82"/>
        <v>1224.7966838918487</v>
      </c>
      <c r="N189" s="430">
        <f t="shared" si="82"/>
        <v>1229.0483252693468</v>
      </c>
      <c r="O189" s="430">
        <f t="shared" si="82"/>
        <v>1229.2220794826762</v>
      </c>
      <c r="P189" s="430">
        <f t="shared" si="82"/>
        <v>1225.7552201565479</v>
      </c>
      <c r="Q189" s="430">
        <f t="shared" si="82"/>
        <v>1219.0488082565282</v>
      </c>
      <c r="R189" s="430">
        <f t="shared" si="82"/>
        <v>1209.4703974144311</v>
      </c>
      <c r="S189" s="430">
        <f t="shared" si="82"/>
        <v>1197.3565476064632</v>
      </c>
      <c r="T189" s="430">
        <f t="shared" si="82"/>
        <v>1183.0151603476097</v>
      </c>
      <c r="U189" s="430">
        <f t="shared" si="82"/>
        <v>1166.727647678757</v>
      </c>
      <c r="V189" s="430">
        <f t="shared" si="82"/>
        <v>1148.7509463951612</v>
      </c>
      <c r="W189" s="430">
        <f t="shared" si="82"/>
        <v>1129.3193881920095</v>
      </c>
      <c r="X189" s="430">
        <f t="shared" si="82"/>
        <v>1108.6464356815693</v>
      </c>
      <c r="Y189" s="430">
        <f t="shared" si="82"/>
        <v>1086.9262935631712</v>
      </c>
      <c r="Z189" s="430">
        <f t="shared" si="82"/>
        <v>1064.3354035989419</v>
      </c>
      <c r="AA189" s="430">
        <f t="shared" si="82"/>
        <v>1041.0338314618948</v>
      </c>
      <c r="AB189" s="430">
        <f t="shared" si="82"/>
        <v>1017.1665529757028</v>
      </c>
      <c r="AC189" s="430">
        <f t="shared" si="82"/>
        <v>0</v>
      </c>
    </row>
    <row r="190" spans="1:29" ht="15.75">
      <c r="A190" s="25"/>
      <c r="B190" s="25"/>
      <c r="C190" s="427" t="s">
        <v>203</v>
      </c>
      <c r="D190" s="440">
        <f t="shared" si="79"/>
        <v>81.785666146995723</v>
      </c>
      <c r="F190" s="430">
        <f t="shared" ref="F190:AC190" si="83">F148*F$129</f>
        <v>0</v>
      </c>
      <c r="G190" s="430">
        <f t="shared" si="83"/>
        <v>0</v>
      </c>
      <c r="H190" s="430">
        <f t="shared" si="83"/>
        <v>3664.1570948938115</v>
      </c>
      <c r="I190" s="430">
        <f t="shared" si="83"/>
        <v>3766.8904713861612</v>
      </c>
      <c r="J190" s="430">
        <f t="shared" si="83"/>
        <v>3846.9008892150932</v>
      </c>
      <c r="K190" s="430">
        <f t="shared" si="83"/>
        <v>3906.4226579925048</v>
      </c>
      <c r="L190" s="430">
        <f t="shared" si="83"/>
        <v>3947.5089754437981</v>
      </c>
      <c r="M190" s="430">
        <f t="shared" si="83"/>
        <v>3972.0454086574123</v>
      </c>
      <c r="N190" s="430">
        <f t="shared" si="83"/>
        <v>3981.7624170839895</v>
      </c>
      <c r="O190" s="430">
        <f t="shared" si="83"/>
        <v>3978.2469835398442</v>
      </c>
      <c r="P190" s="430">
        <f t="shared" si="83"/>
        <v>3962.9534149684309</v>
      </c>
      <c r="Q190" s="430">
        <f t="shared" si="83"/>
        <v>3937.213370514562</v>
      </c>
      <c r="R190" s="430">
        <f t="shared" si="83"/>
        <v>3902.2451705497201</v>
      </c>
      <c r="S190" s="430">
        <f t="shared" si="83"/>
        <v>3859.1624366331648</v>
      </c>
      <c r="T190" s="430">
        <f t="shared" si="83"/>
        <v>3808.9821089861225</v>
      </c>
      <c r="U190" s="430">
        <f t="shared" si="83"/>
        <v>3752.6318848779588</v>
      </c>
      <c r="V190" s="430">
        <f t="shared" si="83"/>
        <v>3690.9571183591361</v>
      </c>
      <c r="W190" s="430">
        <f t="shared" si="83"/>
        <v>3624.727219011198</v>
      </c>
      <c r="X190" s="430">
        <f t="shared" si="83"/>
        <v>3554.641584806081</v>
      </c>
      <c r="Y190" s="430">
        <f t="shared" si="83"/>
        <v>3481.3351017629875</v>
      </c>
      <c r="Z190" s="430">
        <f t="shared" si="83"/>
        <v>3405.383240849259</v>
      </c>
      <c r="AA190" s="430">
        <f t="shared" si="83"/>
        <v>3327.3067804815614</v>
      </c>
      <c r="AB190" s="430">
        <f t="shared" si="83"/>
        <v>3247.5761810346803</v>
      </c>
      <c r="AC190" s="430">
        <f t="shared" si="83"/>
        <v>3166.6156359482611</v>
      </c>
    </row>
    <row r="191" spans="1:29" ht="15.75">
      <c r="A191" s="25"/>
      <c r="B191" s="25"/>
      <c r="C191" s="427" t="s">
        <v>204</v>
      </c>
      <c r="D191" s="440">
        <f t="shared" si="79"/>
        <v>324.41032847499662</v>
      </c>
      <c r="F191" s="430">
        <f t="shared" ref="F191:AC191" si="84">F149*F$129</f>
        <v>0</v>
      </c>
      <c r="G191" s="430">
        <f t="shared" si="84"/>
        <v>0</v>
      </c>
      <c r="H191" s="430">
        <f t="shared" si="84"/>
        <v>18746.679660664482</v>
      </c>
      <c r="I191" s="430">
        <f t="shared" si="84"/>
        <v>18513.202399165944</v>
      </c>
      <c r="J191" s="430">
        <f t="shared" si="84"/>
        <v>18142.148655881858</v>
      </c>
      <c r="K191" s="430">
        <f t="shared" si="84"/>
        <v>17657.155036937173</v>
      </c>
      <c r="L191" s="430">
        <f t="shared" si="84"/>
        <v>17078.98975927935</v>
      </c>
      <c r="M191" s="430">
        <f t="shared" si="84"/>
        <v>16425.869355447572</v>
      </c>
      <c r="N191" s="430">
        <f t="shared" si="84"/>
        <v>15925.607190012452</v>
      </c>
      <c r="O191" s="430">
        <f t="shared" si="84"/>
        <v>15371.584575154458</v>
      </c>
      <c r="P191" s="430">
        <f t="shared" si="84"/>
        <v>15200.969829612532</v>
      </c>
      <c r="Q191" s="430">
        <f t="shared" si="84"/>
        <v>14991.445738192415</v>
      </c>
      <c r="R191" s="430">
        <f t="shared" si="84"/>
        <v>14748.498676374678</v>
      </c>
      <c r="S191" s="430">
        <f t="shared" si="84"/>
        <v>14477.085042905957</v>
      </c>
      <c r="T191" s="430">
        <f t="shared" si="84"/>
        <v>14181.675858318209</v>
      </c>
      <c r="U191" s="430">
        <f t="shared" si="84"/>
        <v>13866.297867810745</v>
      </c>
      <c r="V191" s="430">
        <f t="shared" si="84"/>
        <v>13534.571411074368</v>
      </c>
      <c r="W191" s="430">
        <f t="shared" si="84"/>
        <v>13189.745302451103</v>
      </c>
      <c r="X191" s="430">
        <f t="shared" si="84"/>
        <v>12834.728947013669</v>
      </c>
      <c r="Y191" s="430">
        <f t="shared" si="84"/>
        <v>12472.121901616927</v>
      </c>
      <c r="Z191" s="430">
        <f t="shared" si="84"/>
        <v>12195.015865656042</v>
      </c>
      <c r="AA191" s="430">
        <f t="shared" si="84"/>
        <v>11910.532872553056</v>
      </c>
      <c r="AB191" s="430">
        <f t="shared" si="84"/>
        <v>11620.365292240094</v>
      </c>
      <c r="AC191" s="430">
        <f t="shared" si="84"/>
        <v>11326.037236633541</v>
      </c>
    </row>
    <row r="192" spans="1:29" ht="15.75">
      <c r="A192" s="25"/>
      <c r="B192" s="25"/>
      <c r="C192" s="427" t="s">
        <v>601</v>
      </c>
      <c r="D192" s="440">
        <f t="shared" si="79"/>
        <v>0.69399681592887907</v>
      </c>
      <c r="F192" s="430">
        <f t="shared" ref="F192:AC192" si="85">F150*F$129</f>
        <v>0</v>
      </c>
      <c r="G192" s="430">
        <f t="shared" si="85"/>
        <v>0</v>
      </c>
      <c r="H192" s="430">
        <f t="shared" si="85"/>
        <v>31.092408691139909</v>
      </c>
      <c r="I192" s="430">
        <f t="shared" si="85"/>
        <v>31.964158467527003</v>
      </c>
      <c r="J192" s="430">
        <f t="shared" si="85"/>
        <v>32.643091315180513</v>
      </c>
      <c r="K192" s="430">
        <f t="shared" si="85"/>
        <v>33.148166592500303</v>
      </c>
      <c r="L192" s="430">
        <f t="shared" si="85"/>
        <v>33.496806822906848</v>
      </c>
      <c r="M192" s="430">
        <f t="shared" si="85"/>
        <v>33.705012090733291</v>
      </c>
      <c r="N192" s="430">
        <f t="shared" si="85"/>
        <v>33.78746630583106</v>
      </c>
      <c r="O192" s="430">
        <f t="shared" si="85"/>
        <v>33.757635899096208</v>
      </c>
      <c r="P192" s="430">
        <f t="shared" si="85"/>
        <v>33.627861472931173</v>
      </c>
      <c r="Q192" s="430">
        <f t="shared" si="85"/>
        <v>33.409442895026018</v>
      </c>
      <c r="R192" s="430">
        <f t="shared" si="85"/>
        <v>33.11271829061004</v>
      </c>
      <c r="S192" s="430">
        <f t="shared" si="85"/>
        <v>32.747137357322025</v>
      </c>
      <c r="T192" s="430">
        <f t="shared" si="85"/>
        <v>32.321329397933113</v>
      </c>
      <c r="U192" s="430">
        <f t="shared" si="85"/>
        <v>31.843166439186081</v>
      </c>
      <c r="V192" s="430">
        <f t="shared" si="85"/>
        <v>31.319821779862888</v>
      </c>
      <c r="W192" s="430">
        <f t="shared" si="85"/>
        <v>30.757824287733303</v>
      </c>
      <c r="X192" s="430">
        <f t="shared" si="85"/>
        <v>30.163108743162368</v>
      </c>
      <c r="Y192" s="430">
        <f t="shared" si="85"/>
        <v>29.541062506754468</v>
      </c>
      <c r="Z192" s="430">
        <f t="shared" si="85"/>
        <v>28.896568769389013</v>
      </c>
      <c r="AA192" s="430">
        <f t="shared" si="85"/>
        <v>28.2340466252667</v>
      </c>
      <c r="AB192" s="430">
        <f t="shared" si="85"/>
        <v>27.557488192047057</v>
      </c>
      <c r="AC192" s="430">
        <f t="shared" si="85"/>
        <v>26.870492986739858</v>
      </c>
    </row>
    <row r="193" spans="1:29" ht="15.75">
      <c r="A193" s="25"/>
      <c r="B193" s="25"/>
      <c r="C193" s="427" t="s">
        <v>205</v>
      </c>
      <c r="D193" s="440">
        <f t="shared" si="79"/>
        <v>449.79863078185508</v>
      </c>
      <c r="F193" s="430">
        <f t="shared" ref="F193:AC193" si="86">F151*F$129</f>
        <v>0</v>
      </c>
      <c r="G193" s="430">
        <f t="shared" si="86"/>
        <v>0</v>
      </c>
      <c r="H193" s="430">
        <f t="shared" si="86"/>
        <v>20151.854498447443</v>
      </c>
      <c r="I193" s="430">
        <f t="shared" si="86"/>
        <v>20716.85976475905</v>
      </c>
      <c r="J193" s="430">
        <f t="shared" si="86"/>
        <v>21156.895018895812</v>
      </c>
      <c r="K193" s="430">
        <f t="shared" si="86"/>
        <v>21484.248348141486</v>
      </c>
      <c r="L193" s="430">
        <f t="shared" si="86"/>
        <v>21710.211774302796</v>
      </c>
      <c r="M193" s="430">
        <f t="shared" si="86"/>
        <v>21845.155396867634</v>
      </c>
      <c r="N193" s="430">
        <f t="shared" si="86"/>
        <v>21898.596266050194</v>
      </c>
      <c r="O193" s="430">
        <f t="shared" si="86"/>
        <v>21879.262350105575</v>
      </c>
      <c r="P193" s="430">
        <f t="shared" si="86"/>
        <v>21795.151936542072</v>
      </c>
      <c r="Q193" s="430">
        <f t="shared" si="86"/>
        <v>21653.588783766558</v>
      </c>
      <c r="R193" s="430">
        <f t="shared" si="86"/>
        <v>21461.273318158903</v>
      </c>
      <c r="S193" s="430">
        <f t="shared" si="86"/>
        <v>21224.330151477636</v>
      </c>
      <c r="T193" s="430">
        <f t="shared" si="86"/>
        <v>20948.352174759115</v>
      </c>
      <c r="U193" s="430">
        <f t="shared" si="86"/>
        <v>20638.441467392044</v>
      </c>
      <c r="V193" s="430">
        <f t="shared" si="86"/>
        <v>20299.247243747803</v>
      </c>
      <c r="W193" s="430">
        <f t="shared" si="86"/>
        <v>19935.00104454243</v>
      </c>
      <c r="X193" s="430">
        <f t="shared" si="86"/>
        <v>19549.54936592824</v>
      </c>
      <c r="Y193" s="430">
        <f t="shared" si="86"/>
        <v>19146.383906091385</v>
      </c>
      <c r="Z193" s="430">
        <f t="shared" si="86"/>
        <v>18728.669596802436</v>
      </c>
      <c r="AA193" s="430">
        <f t="shared" si="86"/>
        <v>18299.270575871746</v>
      </c>
      <c r="AB193" s="430">
        <f t="shared" si="86"/>
        <v>17860.774245742621</v>
      </c>
      <c r="AC193" s="430">
        <f t="shared" si="86"/>
        <v>17415.513553462235</v>
      </c>
    </row>
    <row r="194" spans="1:29" ht="15.75">
      <c r="A194" s="25"/>
      <c r="B194" s="25"/>
      <c r="C194" s="426"/>
      <c r="D194" s="441"/>
      <c r="F194" s="437">
        <f>SUM(F187:F193)</f>
        <v>0</v>
      </c>
      <c r="G194" s="437">
        <f t="shared" ref="G194:AC194" si="87">SUM(G187:G193)</f>
        <v>0</v>
      </c>
      <c r="H194" s="437">
        <f t="shared" si="87"/>
        <v>62773.130908636565</v>
      </c>
      <c r="I194" s="437">
        <f t="shared" si="87"/>
        <v>63819.520249436304</v>
      </c>
      <c r="J194" s="437">
        <f t="shared" si="87"/>
        <v>64457.40793208898</v>
      </c>
      <c r="K194" s="437">
        <f t="shared" si="87"/>
        <v>64736.543439992995</v>
      </c>
      <c r="L194" s="437">
        <f t="shared" si="87"/>
        <v>64701.726071867815</v>
      </c>
      <c r="M194" s="437">
        <f t="shared" si="87"/>
        <v>64393.274299313038</v>
      </c>
      <c r="N194" s="437">
        <f t="shared" si="87"/>
        <v>64059.316235101811</v>
      </c>
      <c r="O194" s="437">
        <f t="shared" si="87"/>
        <v>63511.892729989384</v>
      </c>
      <c r="P194" s="437">
        <f t="shared" si="87"/>
        <v>63205.299123573001</v>
      </c>
      <c r="Q194" s="437">
        <f t="shared" si="87"/>
        <v>62732.926741939737</v>
      </c>
      <c r="R194" s="437">
        <f t="shared" si="87"/>
        <v>62114.657999475414</v>
      </c>
      <c r="S194" s="437">
        <f t="shared" si="87"/>
        <v>61368.631300668887</v>
      </c>
      <c r="T194" s="437">
        <f t="shared" si="87"/>
        <v>60511.377115582174</v>
      </c>
      <c r="U194" s="437">
        <f t="shared" si="87"/>
        <v>59557.944048392965</v>
      </c>
      <c r="V194" s="437">
        <f t="shared" si="87"/>
        <v>58522.015610124334</v>
      </c>
      <c r="W194" s="437">
        <f t="shared" si="87"/>
        <v>57416.018357209032</v>
      </c>
      <c r="X194" s="437">
        <f t="shared" si="87"/>
        <v>56251.222011467791</v>
      </c>
      <c r="Y194" s="437">
        <f t="shared" si="87"/>
        <v>55037.83213417088</v>
      </c>
      <c r="Z194" s="437">
        <f t="shared" si="87"/>
        <v>53875.850677917762</v>
      </c>
      <c r="AA194" s="437">
        <f t="shared" si="87"/>
        <v>52678.668503382985</v>
      </c>
      <c r="AB194" s="437">
        <f t="shared" si="87"/>
        <v>51453.655765783944</v>
      </c>
      <c r="AC194" s="437">
        <f t="shared" si="87"/>
        <v>49214.605390890574</v>
      </c>
    </row>
    <row r="195" spans="1:29" ht="15.75">
      <c r="A195" s="25"/>
      <c r="B195" s="25"/>
      <c r="C195" s="425" t="s">
        <v>184</v>
      </c>
      <c r="D195" s="442">
        <f>NPV(0.07,F154:AC154)/1000</f>
        <v>789.27488604062535</v>
      </c>
    </row>
    <row r="196" spans="1:29" ht="15.75">
      <c r="A196" s="25"/>
      <c r="B196" s="25"/>
      <c r="C196" s="425" t="s">
        <v>185</v>
      </c>
      <c r="D196" s="443">
        <f>IRR(F196:AC196)</f>
        <v>0.19608233239930487</v>
      </c>
      <c r="F196" s="430">
        <f>F185+F194</f>
        <v>0</v>
      </c>
      <c r="G196" s="430">
        <f t="shared" ref="G196:AC196" si="88">G185+G194</f>
        <v>-240737.18228666257</v>
      </c>
      <c r="H196" s="430">
        <f t="shared" si="88"/>
        <v>41994.935251452509</v>
      </c>
      <c r="I196" s="430">
        <f t="shared" si="88"/>
        <v>49498.755375647816</v>
      </c>
      <c r="J196" s="430">
        <f t="shared" si="88"/>
        <v>50129.973373071181</v>
      </c>
      <c r="K196" s="430">
        <f t="shared" si="88"/>
        <v>50446.966285135095</v>
      </c>
      <c r="L196" s="430">
        <f t="shared" si="88"/>
        <v>50489.560107755926</v>
      </c>
      <c r="M196" s="430">
        <f t="shared" si="88"/>
        <v>50293.521642420383</v>
      </c>
      <c r="N196" s="430">
        <f t="shared" si="88"/>
        <v>50102.816882133295</v>
      </c>
      <c r="O196" s="430">
        <f t="shared" si="88"/>
        <v>49725.684334954334</v>
      </c>
      <c r="P196" s="430">
        <f t="shared" si="88"/>
        <v>49612.949149775392</v>
      </c>
      <c r="Q196" s="430">
        <f t="shared" si="88"/>
        <v>49354.838987174786</v>
      </c>
      <c r="R196" s="430">
        <f t="shared" si="88"/>
        <v>48968.355353064893</v>
      </c>
      <c r="S196" s="430">
        <f t="shared" si="88"/>
        <v>48469.016460865023</v>
      </c>
      <c r="T196" s="430">
        <f t="shared" si="88"/>
        <v>47870.97287467611</v>
      </c>
      <c r="U196" s="430">
        <f t="shared" si="88"/>
        <v>47187.114639977888</v>
      </c>
      <c r="V196" s="430">
        <f t="shared" si="88"/>
        <v>46429.170507823561</v>
      </c>
      <c r="W196" s="430">
        <f t="shared" si="88"/>
        <v>45607.799816262639</v>
      </c>
      <c r="X196" s="430">
        <f t="shared" si="88"/>
        <v>44732.677553388712</v>
      </c>
      <c r="Y196" s="430">
        <f t="shared" si="88"/>
        <v>43812.573089776786</v>
      </c>
      <c r="Z196" s="430">
        <f t="shared" si="88"/>
        <v>42946.197824993716</v>
      </c>
      <c r="AA196" s="430">
        <f t="shared" si="88"/>
        <v>42045.785761634317</v>
      </c>
      <c r="AB196" s="430">
        <f t="shared" si="88"/>
        <v>41117.672843229091</v>
      </c>
      <c r="AC196" s="430">
        <f t="shared" si="88"/>
        <v>39174.730212074595</v>
      </c>
    </row>
    <row r="197" spans="1:29" ht="15.75">
      <c r="A197" s="25"/>
      <c r="B197" s="25"/>
      <c r="C197" s="425" t="s">
        <v>186</v>
      </c>
      <c r="D197" s="444">
        <f>SUM(D187:D193)/SUM(D181:D184)</f>
        <v>2.497338246482899</v>
      </c>
    </row>
    <row r="198" spans="1:29">
      <c r="A198" s="25"/>
      <c r="B198" s="25"/>
    </row>
  </sheetData>
  <pageMargins left="0.19" right="0.17" top="0.75" bottom="0.75" header="0.3" footer="0.3"/>
  <pageSetup paperSize="5" scale="37" fitToHeight="2" orientation="landscape" r:id="rId1"/>
</worksheet>
</file>

<file path=xl/worksheets/sheet15.xml><?xml version="1.0" encoding="utf-8"?>
<worksheet xmlns="http://schemas.openxmlformats.org/spreadsheetml/2006/main" xmlns:r="http://schemas.openxmlformats.org/officeDocument/2006/relationships">
  <dimension ref="A2:AL76"/>
  <sheetViews>
    <sheetView zoomScale="75" zoomScaleNormal="75" workbookViewId="0">
      <selection activeCell="F20" sqref="F20"/>
    </sheetView>
  </sheetViews>
  <sheetFormatPr defaultRowHeight="12.75"/>
  <cols>
    <col min="2" max="2" width="42" customWidth="1"/>
    <col min="3" max="3" width="15.7109375" customWidth="1"/>
    <col min="4" max="4" width="27.5703125" customWidth="1"/>
    <col min="5" max="5" width="15.7109375" customWidth="1"/>
    <col min="6" max="8" width="16" customWidth="1"/>
    <col min="9" max="14" width="15.42578125" customWidth="1"/>
    <col min="16" max="27" width="10.140625" customWidth="1"/>
  </cols>
  <sheetData>
    <row r="2" spans="1:27">
      <c r="A2" s="3" t="s">
        <v>406</v>
      </c>
      <c r="D2" s="75">
        <v>2012</v>
      </c>
      <c r="E2" s="75">
        <v>2013</v>
      </c>
      <c r="F2" s="75">
        <v>2014</v>
      </c>
      <c r="G2" s="75">
        <v>2015</v>
      </c>
      <c r="H2" s="75">
        <v>2016</v>
      </c>
      <c r="I2" s="75">
        <v>2017</v>
      </c>
      <c r="J2" s="75">
        <v>2018</v>
      </c>
      <c r="K2" s="75">
        <v>2019</v>
      </c>
      <c r="L2" s="75">
        <v>2020</v>
      </c>
      <c r="M2" s="75">
        <v>2021</v>
      </c>
      <c r="N2" s="75">
        <v>2022</v>
      </c>
      <c r="O2" s="75">
        <v>2023</v>
      </c>
      <c r="P2" s="75">
        <v>2024</v>
      </c>
      <c r="Q2" s="75">
        <v>2025</v>
      </c>
      <c r="R2" s="75">
        <v>2026</v>
      </c>
      <c r="S2" s="75">
        <v>2027</v>
      </c>
      <c r="T2" s="75">
        <v>2028</v>
      </c>
      <c r="U2" s="75">
        <v>2029</v>
      </c>
      <c r="V2" s="75">
        <v>2030</v>
      </c>
      <c r="W2" s="75">
        <v>2031</v>
      </c>
      <c r="X2" s="75">
        <v>2032</v>
      </c>
      <c r="Y2" s="75">
        <v>2033</v>
      </c>
      <c r="Z2" s="75">
        <v>2034</v>
      </c>
      <c r="AA2" s="75">
        <v>2035</v>
      </c>
    </row>
    <row r="3" spans="1:27">
      <c r="D3" s="75" t="s">
        <v>18</v>
      </c>
      <c r="E3" s="72" t="s">
        <v>19</v>
      </c>
      <c r="F3" s="72" t="s">
        <v>20</v>
      </c>
      <c r="G3" s="72" t="s">
        <v>21</v>
      </c>
      <c r="H3" s="72" t="s">
        <v>22</v>
      </c>
      <c r="I3" s="72" t="s">
        <v>23</v>
      </c>
      <c r="J3" s="72" t="s">
        <v>24</v>
      </c>
      <c r="K3" s="72" t="s">
        <v>25</v>
      </c>
      <c r="L3" s="72" t="s">
        <v>26</v>
      </c>
      <c r="M3" s="72" t="s">
        <v>27</v>
      </c>
      <c r="N3" s="72" t="s">
        <v>28</v>
      </c>
      <c r="O3" s="72" t="s">
        <v>29</v>
      </c>
      <c r="P3" s="72" t="s">
        <v>30</v>
      </c>
      <c r="Q3" s="72" t="s">
        <v>31</v>
      </c>
      <c r="R3" s="72" t="s">
        <v>32</v>
      </c>
      <c r="S3" s="72" t="s">
        <v>33</v>
      </c>
      <c r="T3" s="72" t="s">
        <v>34</v>
      </c>
      <c r="U3" s="72" t="s">
        <v>35</v>
      </c>
      <c r="V3" s="72" t="s">
        <v>36</v>
      </c>
      <c r="W3" s="72" t="s">
        <v>123</v>
      </c>
      <c r="X3" s="72" t="s">
        <v>245</v>
      </c>
      <c r="Y3" s="72" t="s">
        <v>246</v>
      </c>
      <c r="Z3" s="72" t="s">
        <v>247</v>
      </c>
      <c r="AA3" s="72" t="s">
        <v>248</v>
      </c>
    </row>
    <row r="4" spans="1:27">
      <c r="A4" s="70"/>
      <c r="B4" s="53"/>
    </row>
    <row r="5" spans="1:27">
      <c r="A5" s="58"/>
      <c r="B5" s="70"/>
    </row>
    <row r="6" spans="1:27">
      <c r="A6" s="5" t="s">
        <v>277</v>
      </c>
      <c r="B6" s="53"/>
    </row>
    <row r="7" spans="1:27">
      <c r="A7" s="70" t="s">
        <v>366</v>
      </c>
      <c r="B7" s="70" t="s">
        <v>366</v>
      </c>
      <c r="C7">
        <v>0.8</v>
      </c>
      <c r="E7">
        <f>D120</f>
        <v>0</v>
      </c>
      <c r="F7">
        <f>C7*F14</f>
        <v>14000</v>
      </c>
      <c r="G7">
        <f>$F$7</f>
        <v>14000</v>
      </c>
      <c r="H7">
        <f t="shared" ref="H7:AA7" si="0">$F$7</f>
        <v>14000</v>
      </c>
      <c r="I7">
        <f t="shared" si="0"/>
        <v>14000</v>
      </c>
      <c r="J7">
        <f t="shared" si="0"/>
        <v>14000</v>
      </c>
      <c r="K7">
        <f t="shared" si="0"/>
        <v>14000</v>
      </c>
      <c r="L7">
        <f t="shared" si="0"/>
        <v>14000</v>
      </c>
      <c r="M7">
        <f t="shared" si="0"/>
        <v>14000</v>
      </c>
      <c r="N7">
        <f t="shared" si="0"/>
        <v>14000</v>
      </c>
      <c r="O7">
        <f t="shared" si="0"/>
        <v>14000</v>
      </c>
      <c r="P7">
        <f t="shared" si="0"/>
        <v>14000</v>
      </c>
      <c r="Q7">
        <f t="shared" si="0"/>
        <v>14000</v>
      </c>
      <c r="R7">
        <f t="shared" si="0"/>
        <v>14000</v>
      </c>
      <c r="S7">
        <f t="shared" si="0"/>
        <v>14000</v>
      </c>
      <c r="T7">
        <f t="shared" si="0"/>
        <v>14000</v>
      </c>
      <c r="U7">
        <f t="shared" si="0"/>
        <v>14000</v>
      </c>
      <c r="V7">
        <f t="shared" si="0"/>
        <v>14000</v>
      </c>
      <c r="W7">
        <f t="shared" si="0"/>
        <v>14000</v>
      </c>
      <c r="X7">
        <f t="shared" si="0"/>
        <v>14000</v>
      </c>
      <c r="Y7">
        <f t="shared" si="0"/>
        <v>14000</v>
      </c>
      <c r="Z7">
        <f t="shared" si="0"/>
        <v>14000</v>
      </c>
      <c r="AA7">
        <f t="shared" si="0"/>
        <v>14000</v>
      </c>
    </row>
    <row r="8" spans="1:27">
      <c r="A8" s="70" t="s">
        <v>415</v>
      </c>
      <c r="B8" s="54" t="s">
        <v>433</v>
      </c>
      <c r="C8" s="89">
        <v>0.95</v>
      </c>
      <c r="E8">
        <f>D121</f>
        <v>0</v>
      </c>
      <c r="F8">
        <f t="shared" ref="F8:AA8" si="1">(F14-F7)*$C$8</f>
        <v>3325</v>
      </c>
      <c r="G8">
        <f t="shared" si="1"/>
        <v>3657.5</v>
      </c>
      <c r="H8">
        <f t="shared" si="1"/>
        <v>3996.6499999999996</v>
      </c>
      <c r="I8">
        <f t="shared" si="1"/>
        <v>4342.5829999999996</v>
      </c>
      <c r="J8">
        <f t="shared" si="1"/>
        <v>4695.4346599999999</v>
      </c>
      <c r="K8">
        <f t="shared" si="1"/>
        <v>5055.3433532000008</v>
      </c>
      <c r="L8">
        <f t="shared" si="1"/>
        <v>5422.4502202640042</v>
      </c>
      <c r="M8">
        <f t="shared" si="1"/>
        <v>5796.8992246692806</v>
      </c>
      <c r="N8">
        <f t="shared" si="1"/>
        <v>6178.8372091626698</v>
      </c>
      <c r="O8">
        <f t="shared" si="1"/>
        <v>6568.4139533459238</v>
      </c>
      <c r="P8">
        <f t="shared" si="1"/>
        <v>6965.782232412841</v>
      </c>
      <c r="Q8">
        <f t="shared" si="1"/>
        <v>7371.0978770610946</v>
      </c>
      <c r="R8">
        <f t="shared" si="1"/>
        <v>7784.5198346023199</v>
      </c>
      <c r="S8">
        <f t="shared" si="1"/>
        <v>8206.2102312943662</v>
      </c>
      <c r="T8">
        <f t="shared" si="1"/>
        <v>8636.3344359202529</v>
      </c>
      <c r="U8">
        <f t="shared" si="1"/>
        <v>9075.0611246386616</v>
      </c>
      <c r="V8">
        <f t="shared" si="1"/>
        <v>9522.562347131432</v>
      </c>
      <c r="W8">
        <f t="shared" si="1"/>
        <v>9979.0135940740638</v>
      </c>
      <c r="X8">
        <f t="shared" si="1"/>
        <v>10444.593865955545</v>
      </c>
      <c r="Y8">
        <f t="shared" si="1"/>
        <v>10919.485743274652</v>
      </c>
      <c r="Z8">
        <f t="shared" si="1"/>
        <v>11403.87545814015</v>
      </c>
      <c r="AA8">
        <f t="shared" si="1"/>
        <v>11897.952967302954</v>
      </c>
    </row>
    <row r="9" spans="1:27">
      <c r="A9" s="70"/>
      <c r="B9" s="78" t="s">
        <v>427</v>
      </c>
      <c r="C9" s="89">
        <v>0.05</v>
      </c>
      <c r="E9">
        <f>D122</f>
        <v>0</v>
      </c>
      <c r="F9">
        <f t="shared" ref="F9:AA9" si="2">(F14-F7)*$C$9</f>
        <v>175</v>
      </c>
      <c r="G9">
        <f t="shared" si="2"/>
        <v>192.5</v>
      </c>
      <c r="H9">
        <f t="shared" si="2"/>
        <v>210.35000000000002</v>
      </c>
      <c r="I9">
        <f t="shared" si="2"/>
        <v>228.55699999999999</v>
      </c>
      <c r="J9">
        <f t="shared" si="2"/>
        <v>247.12814</v>
      </c>
      <c r="K9">
        <f t="shared" si="2"/>
        <v>266.07070280000011</v>
      </c>
      <c r="L9">
        <f t="shared" si="2"/>
        <v>285.3921168560002</v>
      </c>
      <c r="M9">
        <f t="shared" si="2"/>
        <v>305.09995919312007</v>
      </c>
      <c r="N9">
        <f t="shared" si="2"/>
        <v>325.2019583769827</v>
      </c>
      <c r="O9">
        <f t="shared" si="2"/>
        <v>345.70599754452235</v>
      </c>
      <c r="P9">
        <f t="shared" si="2"/>
        <v>366.62011749541273</v>
      </c>
      <c r="Q9">
        <f t="shared" si="2"/>
        <v>387.95251984532081</v>
      </c>
      <c r="R9">
        <f t="shared" si="2"/>
        <v>409.71157024222742</v>
      </c>
      <c r="S9">
        <f t="shared" si="2"/>
        <v>431.90580164707194</v>
      </c>
      <c r="T9">
        <f t="shared" si="2"/>
        <v>454.54391768001335</v>
      </c>
      <c r="U9">
        <f t="shared" si="2"/>
        <v>477.63479603361378</v>
      </c>
      <c r="V9">
        <f t="shared" si="2"/>
        <v>501.18749195428592</v>
      </c>
      <c r="W9">
        <f t="shared" si="2"/>
        <v>525.21124179337187</v>
      </c>
      <c r="X9">
        <f t="shared" si="2"/>
        <v>549.71546662923924</v>
      </c>
      <c r="Y9">
        <f t="shared" si="2"/>
        <v>574.70977596182388</v>
      </c>
      <c r="Z9">
        <f t="shared" si="2"/>
        <v>600.20397148106065</v>
      </c>
      <c r="AA9">
        <f t="shared" si="2"/>
        <v>626.20805091068178</v>
      </c>
    </row>
    <row r="11" spans="1:27">
      <c r="A11" s="5"/>
      <c r="B11" s="70" t="s">
        <v>540</v>
      </c>
      <c r="C11">
        <v>70</v>
      </c>
    </row>
    <row r="12" spans="1:27">
      <c r="A12" s="5"/>
      <c r="B12" s="70" t="s">
        <v>541</v>
      </c>
      <c r="C12" s="89">
        <v>0.5</v>
      </c>
      <c r="F12">
        <v>0.5</v>
      </c>
      <c r="G12">
        <f>F12*1.02</f>
        <v>0.51</v>
      </c>
      <c r="H12">
        <f t="shared" ref="H12:AA12" si="3">G12*1.02</f>
        <v>0.5202</v>
      </c>
      <c r="I12">
        <f t="shared" si="3"/>
        <v>0.53060399999999996</v>
      </c>
      <c r="J12">
        <f t="shared" si="3"/>
        <v>0.54121607999999999</v>
      </c>
      <c r="K12">
        <f t="shared" si="3"/>
        <v>0.55204040160000001</v>
      </c>
      <c r="L12">
        <f t="shared" si="3"/>
        <v>0.56308120963200003</v>
      </c>
      <c r="M12">
        <f t="shared" si="3"/>
        <v>0.57434283382464002</v>
      </c>
      <c r="N12">
        <f t="shared" si="3"/>
        <v>0.58582969050113287</v>
      </c>
      <c r="O12">
        <f t="shared" si="3"/>
        <v>0.59754628431115553</v>
      </c>
      <c r="P12">
        <f t="shared" si="3"/>
        <v>0.60949720999737866</v>
      </c>
      <c r="Q12">
        <f t="shared" si="3"/>
        <v>0.62168715419732623</v>
      </c>
      <c r="R12">
        <f t="shared" si="3"/>
        <v>0.63412089728127274</v>
      </c>
      <c r="S12">
        <f t="shared" si="3"/>
        <v>0.64680331522689816</v>
      </c>
      <c r="T12">
        <f t="shared" si="3"/>
        <v>0.65973938153143619</v>
      </c>
      <c r="U12">
        <f t="shared" si="3"/>
        <v>0.67293416916206494</v>
      </c>
      <c r="V12">
        <f t="shared" si="3"/>
        <v>0.68639285254530624</v>
      </c>
      <c r="W12">
        <f t="shared" si="3"/>
        <v>0.70012070959621242</v>
      </c>
      <c r="X12">
        <f t="shared" si="3"/>
        <v>0.71412312378813669</v>
      </c>
      <c r="Y12">
        <f t="shared" si="3"/>
        <v>0.7284055862638994</v>
      </c>
      <c r="Z12">
        <f t="shared" si="3"/>
        <v>0.74297369798917745</v>
      </c>
      <c r="AA12">
        <f t="shared" si="3"/>
        <v>0.75783317194896105</v>
      </c>
    </row>
    <row r="13" spans="1:27">
      <c r="A13" s="70"/>
      <c r="B13" s="26" t="s">
        <v>458</v>
      </c>
      <c r="C13">
        <v>2</v>
      </c>
    </row>
    <row r="14" spans="1:27">
      <c r="A14" s="70"/>
      <c r="B14" s="26" t="s">
        <v>457</v>
      </c>
      <c r="C14">
        <v>250</v>
      </c>
      <c r="F14">
        <f>$C$11*F12*$C$13*$C$14</f>
        <v>17500</v>
      </c>
      <c r="G14">
        <f t="shared" ref="G14:AA14" si="4">$C$11*G12*$C$13*$C$14</f>
        <v>17850</v>
      </c>
      <c r="H14">
        <f t="shared" si="4"/>
        <v>18207</v>
      </c>
      <c r="I14">
        <f t="shared" si="4"/>
        <v>18571.14</v>
      </c>
      <c r="J14">
        <f t="shared" si="4"/>
        <v>18942.5628</v>
      </c>
      <c r="K14">
        <f t="shared" si="4"/>
        <v>19321.414056000001</v>
      </c>
      <c r="L14">
        <f t="shared" si="4"/>
        <v>19707.842337120004</v>
      </c>
      <c r="M14">
        <f t="shared" si="4"/>
        <v>20101.999183862401</v>
      </c>
      <c r="N14">
        <f t="shared" si="4"/>
        <v>20504.039167539653</v>
      </c>
      <c r="O14">
        <f t="shared" si="4"/>
        <v>20914.119950890446</v>
      </c>
      <c r="P14">
        <f t="shared" si="4"/>
        <v>21332.402349908254</v>
      </c>
      <c r="Q14">
        <f t="shared" si="4"/>
        <v>21759.050396906416</v>
      </c>
      <c r="R14">
        <f t="shared" si="4"/>
        <v>22194.231404844548</v>
      </c>
      <c r="S14">
        <f t="shared" si="4"/>
        <v>22638.116032941438</v>
      </c>
      <c r="T14">
        <f t="shared" si="4"/>
        <v>23090.878353600267</v>
      </c>
      <c r="U14">
        <f t="shared" si="4"/>
        <v>23552.695920672275</v>
      </c>
      <c r="V14">
        <f t="shared" si="4"/>
        <v>24023.749839085718</v>
      </c>
      <c r="W14">
        <f t="shared" si="4"/>
        <v>24504.224835867437</v>
      </c>
      <c r="X14">
        <f t="shared" si="4"/>
        <v>24994.309332584784</v>
      </c>
      <c r="Y14">
        <f t="shared" si="4"/>
        <v>25494.195519236477</v>
      </c>
      <c r="Z14">
        <f t="shared" si="4"/>
        <v>26004.079429621212</v>
      </c>
      <c r="AA14">
        <f t="shared" si="4"/>
        <v>26524.161018213636</v>
      </c>
    </row>
    <row r="15" spans="1:27">
      <c r="A15" s="70"/>
      <c r="B15" s="26"/>
    </row>
    <row r="16" spans="1:27">
      <c r="A16" s="70"/>
      <c r="B16" s="58" t="s">
        <v>436</v>
      </c>
    </row>
    <row r="17" spans="1:27">
      <c r="B17" s="78" t="s">
        <v>505</v>
      </c>
      <c r="C17" s="298"/>
      <c r="D17" s="298"/>
      <c r="E17" s="298"/>
      <c r="F17" s="298">
        <f>F8+F9</f>
        <v>3500</v>
      </c>
      <c r="G17" s="298">
        <f t="shared" ref="G17:AA17" si="5">G8+G9</f>
        <v>3850</v>
      </c>
      <c r="H17" s="298">
        <f t="shared" si="5"/>
        <v>4207</v>
      </c>
      <c r="I17" s="298">
        <f t="shared" si="5"/>
        <v>4571.1399999999994</v>
      </c>
      <c r="J17" s="298">
        <f t="shared" si="5"/>
        <v>4942.5627999999997</v>
      </c>
      <c r="K17" s="298">
        <f t="shared" si="5"/>
        <v>5321.4140560000005</v>
      </c>
      <c r="L17" s="298">
        <f t="shared" si="5"/>
        <v>5707.8423371200042</v>
      </c>
      <c r="M17" s="298">
        <f t="shared" si="5"/>
        <v>6101.999183862401</v>
      </c>
      <c r="N17" s="298">
        <f t="shared" si="5"/>
        <v>6504.0391675396522</v>
      </c>
      <c r="O17" s="298">
        <f t="shared" si="5"/>
        <v>6914.1199508904465</v>
      </c>
      <c r="P17" s="298">
        <f t="shared" si="5"/>
        <v>7332.4023499082541</v>
      </c>
      <c r="Q17" s="298">
        <f t="shared" si="5"/>
        <v>7759.0503969064157</v>
      </c>
      <c r="R17" s="298">
        <f t="shared" si="5"/>
        <v>8194.2314048445478</v>
      </c>
      <c r="S17" s="298">
        <f t="shared" si="5"/>
        <v>8638.1160329414379</v>
      </c>
      <c r="T17" s="298">
        <f t="shared" si="5"/>
        <v>9090.8783536002666</v>
      </c>
      <c r="U17" s="298">
        <f t="shared" si="5"/>
        <v>9552.695920672275</v>
      </c>
      <c r="V17" s="298">
        <f t="shared" si="5"/>
        <v>10023.749839085718</v>
      </c>
      <c r="W17" s="298">
        <f t="shared" si="5"/>
        <v>10504.224835867435</v>
      </c>
      <c r="X17" s="298">
        <f t="shared" si="5"/>
        <v>10994.309332584784</v>
      </c>
      <c r="Y17" s="298">
        <f t="shared" si="5"/>
        <v>11494.195519236477</v>
      </c>
      <c r="Z17" s="298">
        <f t="shared" si="5"/>
        <v>12004.07942962121</v>
      </c>
      <c r="AA17" s="298">
        <f t="shared" si="5"/>
        <v>12524.161018213636</v>
      </c>
    </row>
    <row r="18" spans="1:27">
      <c r="B18" s="78" t="s">
        <v>506</v>
      </c>
      <c r="C18" s="298"/>
      <c r="D18" s="298"/>
      <c r="E18" s="298"/>
      <c r="F18" s="298">
        <v>0</v>
      </c>
      <c r="G18" s="298">
        <v>0</v>
      </c>
      <c r="H18" s="298">
        <v>0</v>
      </c>
      <c r="I18" s="298">
        <v>0</v>
      </c>
      <c r="J18" s="298">
        <v>0</v>
      </c>
      <c r="K18" s="298">
        <v>0</v>
      </c>
      <c r="L18" s="298">
        <v>0</v>
      </c>
      <c r="M18" s="298">
        <v>0</v>
      </c>
      <c r="N18" s="298">
        <v>0</v>
      </c>
      <c r="O18" s="298">
        <v>0</v>
      </c>
      <c r="P18" s="298">
        <v>0</v>
      </c>
      <c r="Q18" s="298">
        <v>0</v>
      </c>
      <c r="R18" s="298">
        <v>0</v>
      </c>
      <c r="S18" s="298">
        <v>0</v>
      </c>
      <c r="T18" s="298">
        <v>0</v>
      </c>
      <c r="U18" s="298">
        <v>0</v>
      </c>
      <c r="V18" s="298">
        <v>0</v>
      </c>
      <c r="W18" s="298">
        <v>0</v>
      </c>
      <c r="X18" s="298">
        <v>0</v>
      </c>
      <c r="Y18" s="298">
        <v>0</v>
      </c>
      <c r="Z18" s="298">
        <v>0</v>
      </c>
      <c r="AA18" s="298">
        <v>0</v>
      </c>
    </row>
    <row r="19" spans="1:27">
      <c r="B19" s="78" t="s">
        <v>507</v>
      </c>
      <c r="C19" s="298"/>
      <c r="D19" s="298"/>
      <c r="E19" s="298"/>
      <c r="F19" s="298">
        <f>-F8</f>
        <v>-3325</v>
      </c>
      <c r="G19" s="298">
        <f t="shared" ref="G19:AA19" si="6">-G8</f>
        <v>-3657.5</v>
      </c>
      <c r="H19" s="298">
        <f t="shared" si="6"/>
        <v>-3996.6499999999996</v>
      </c>
      <c r="I19" s="298">
        <f t="shared" si="6"/>
        <v>-4342.5829999999996</v>
      </c>
      <c r="J19" s="298">
        <f t="shared" si="6"/>
        <v>-4695.4346599999999</v>
      </c>
      <c r="K19" s="298">
        <f t="shared" si="6"/>
        <v>-5055.3433532000008</v>
      </c>
      <c r="L19" s="298">
        <f t="shared" si="6"/>
        <v>-5422.4502202640042</v>
      </c>
      <c r="M19" s="298">
        <f t="shared" si="6"/>
        <v>-5796.8992246692806</v>
      </c>
      <c r="N19" s="298">
        <f t="shared" si="6"/>
        <v>-6178.8372091626698</v>
      </c>
      <c r="O19" s="298">
        <f t="shared" si="6"/>
        <v>-6568.4139533459238</v>
      </c>
      <c r="P19" s="298">
        <f t="shared" si="6"/>
        <v>-6965.782232412841</v>
      </c>
      <c r="Q19" s="298">
        <f t="shared" si="6"/>
        <v>-7371.0978770610946</v>
      </c>
      <c r="R19" s="298">
        <f t="shared" si="6"/>
        <v>-7784.5198346023199</v>
      </c>
      <c r="S19" s="298">
        <f t="shared" si="6"/>
        <v>-8206.2102312943662</v>
      </c>
      <c r="T19" s="298">
        <f t="shared" si="6"/>
        <v>-8636.3344359202529</v>
      </c>
      <c r="U19" s="298">
        <f t="shared" si="6"/>
        <v>-9075.0611246386616</v>
      </c>
      <c r="V19" s="298">
        <f t="shared" si="6"/>
        <v>-9522.562347131432</v>
      </c>
      <c r="W19" s="298">
        <f t="shared" si="6"/>
        <v>-9979.0135940740638</v>
      </c>
      <c r="X19" s="298">
        <f t="shared" si="6"/>
        <v>-10444.593865955545</v>
      </c>
      <c r="Y19" s="298">
        <f t="shared" si="6"/>
        <v>-10919.485743274652</v>
      </c>
      <c r="Z19" s="298">
        <f t="shared" si="6"/>
        <v>-11403.87545814015</v>
      </c>
      <c r="AA19" s="298">
        <f t="shared" si="6"/>
        <v>-11897.952967302954</v>
      </c>
    </row>
    <row r="20" spans="1:27">
      <c r="B20" s="78" t="s">
        <v>508</v>
      </c>
      <c r="C20" s="298"/>
      <c r="D20" s="298"/>
      <c r="E20" s="298"/>
      <c r="F20" s="298">
        <f>F19*'Mode Operating Assumptions'!$C$36</f>
        <v>-83125</v>
      </c>
      <c r="G20" s="298">
        <f>G19*'Mode Operating Assumptions'!$C$36</f>
        <v>-91437.5</v>
      </c>
      <c r="H20" s="298">
        <f>H19*'Mode Operating Assumptions'!$C$36</f>
        <v>-99916.249999999985</v>
      </c>
      <c r="I20" s="298">
        <f>I19*'Mode Operating Assumptions'!$C$36</f>
        <v>-108564.575</v>
      </c>
      <c r="J20" s="298">
        <f>J19*'Mode Operating Assumptions'!$C$36</f>
        <v>-117385.8665</v>
      </c>
      <c r="K20" s="298">
        <f>K19*'Mode Operating Assumptions'!$C$36</f>
        <v>-126383.58383000002</v>
      </c>
      <c r="L20" s="298">
        <f>L19*'Mode Operating Assumptions'!$C$36</f>
        <v>-135561.25550660011</v>
      </c>
      <c r="M20" s="298">
        <f>M19*'Mode Operating Assumptions'!$C$36</f>
        <v>-144922.48061673201</v>
      </c>
      <c r="N20" s="298">
        <f>N19*'Mode Operating Assumptions'!$C$36</f>
        <v>-154470.93022906675</v>
      </c>
      <c r="O20" s="298">
        <f>O19*'Mode Operating Assumptions'!$C$36</f>
        <v>-164210.34883364808</v>
      </c>
      <c r="P20" s="298">
        <f>P19*'Mode Operating Assumptions'!$C$36</f>
        <v>-174144.55581032104</v>
      </c>
      <c r="Q20" s="298">
        <f>Q19*'Mode Operating Assumptions'!$C$36</f>
        <v>-184277.44692652737</v>
      </c>
      <c r="R20" s="298">
        <f>R19*'Mode Operating Assumptions'!$C$36</f>
        <v>-194612.99586505801</v>
      </c>
      <c r="S20" s="298">
        <f>S19*'Mode Operating Assumptions'!$C$36</f>
        <v>-205155.25578235916</v>
      </c>
      <c r="T20" s="298">
        <f>T19*'Mode Operating Assumptions'!$C$36</f>
        <v>-215908.36089800633</v>
      </c>
      <c r="U20" s="298">
        <f>U19*'Mode Operating Assumptions'!$C$36</f>
        <v>-226876.52811596653</v>
      </c>
      <c r="V20" s="298">
        <f>V19*'Mode Operating Assumptions'!$C$36</f>
        <v>-238064.0586782858</v>
      </c>
      <c r="W20" s="298">
        <f>W19*'Mode Operating Assumptions'!$C$36</f>
        <v>-249475.3398518516</v>
      </c>
      <c r="X20" s="298">
        <f>X19*'Mode Operating Assumptions'!$C$36</f>
        <v>-261114.84664888863</v>
      </c>
      <c r="Y20" s="298">
        <f>Y19*'Mode Operating Assumptions'!$C$36</f>
        <v>-272987.14358186629</v>
      </c>
      <c r="Z20" s="298">
        <f>Z19*'Mode Operating Assumptions'!$C$36</f>
        <v>-285096.88645350374</v>
      </c>
      <c r="AA20" s="298">
        <f>AA19*'Mode Operating Assumptions'!$C$36</f>
        <v>-297448.82418257382</v>
      </c>
    </row>
    <row r="21" spans="1:27">
      <c r="A21" s="70"/>
      <c r="B21" s="54" t="s">
        <v>509</v>
      </c>
      <c r="C21" s="246"/>
      <c r="D21" s="246"/>
      <c r="E21" s="246"/>
      <c r="F21" s="246">
        <f>-(F20*'Mode Operating Assumptions'!$C$8/'Mode Operating Assumptions'!F11)</f>
        <v>14002.812340511864</v>
      </c>
      <c r="G21" s="246">
        <f>-(G20*'Mode Operating Assumptions'!$C$8/'Mode Operating Assumptions'!G11)</f>
        <v>15070.925870716565</v>
      </c>
      <c r="H21" s="246">
        <f>-(H20*'Mode Operating Assumptions'!$C$8/'Mode Operating Assumptions'!H11)</f>
        <v>16120.767385037128</v>
      </c>
      <c r="I21" s="246">
        <f>-(I20*'Mode Operating Assumptions'!$C$8/'Mode Operating Assumptions'!I11)</f>
        <v>17153.99548950087</v>
      </c>
      <c r="J21" s="246">
        <f>-(J20*'Mode Operating Assumptions'!$C$8/'Mode Operating Assumptions'!J11)</f>
        <v>18172.144707013758</v>
      </c>
      <c r="K21" s="246">
        <f>-(K20*'Mode Operating Assumptions'!$C$8/'Mode Operating Assumptions'!K11)</f>
        <v>19176.637995980014</v>
      </c>
      <c r="L21" s="246">
        <f>-(L20*'Mode Operating Assumptions'!$C$8/'Mode Operating Assumptions'!L11)</f>
        <v>20558.306936426961</v>
      </c>
      <c r="M21" s="246">
        <f>-(M20*'Mode Operating Assumptions'!$C$8/'Mode Operating Assumptions'!M11)</f>
        <v>21966.335078754906</v>
      </c>
      <c r="N21" s="246">
        <f>-(N20*'Mode Operating Assumptions'!$C$8/'Mode Operating Assumptions'!N11)</f>
        <v>23401.236732506695</v>
      </c>
      <c r="O21" s="246">
        <f>-(O20*'Mode Operating Assumptions'!$C$8/'Mode Operating Assumptions'!O11)</f>
        <v>24863.53623647898</v>
      </c>
      <c r="P21" s="246">
        <f>-(P20*'Mode Operating Assumptions'!$C$8/'Mode Operating Assumptions'!P11)</f>
        <v>26353.76815444485</v>
      </c>
      <c r="Q21" s="246">
        <f>-(Q20*'Mode Operating Assumptions'!$C$8/'Mode Operating Assumptions'!Q11)</f>
        <v>27872.477474698011</v>
      </c>
      <c r="R21" s="246">
        <f>-(R20*'Mode Operating Assumptions'!$C$8/'Mode Operating Assumptions'!R11)</f>
        <v>29420.219813493699</v>
      </c>
      <c r="S21" s="246">
        <f>-(S20*'Mode Operating Assumptions'!$C$8/'Mode Operating Assumptions'!S11)</f>
        <v>30997.561622462006</v>
      </c>
      <c r="T21" s="246">
        <f>-(T20*'Mode Operating Assumptions'!$C$8/'Mode Operating Assumptions'!T11)</f>
        <v>32605.080400071773</v>
      </c>
      <c r="U21" s="246">
        <f>-(U20*'Mode Operating Assumptions'!$C$8/'Mode Operating Assumptions'!U11)</f>
        <v>34243.364907223695</v>
      </c>
      <c r="V21" s="246">
        <f>-(V20*'Mode Operating Assumptions'!$C$8/'Mode Operating Assumptions'!V11)</f>
        <v>35913.015387053543</v>
      </c>
      <c r="W21" s="246">
        <f>-(W20*'Mode Operating Assumptions'!$C$8/'Mode Operating Assumptions'!W11)</f>
        <v>37614.643789027919</v>
      </c>
      <c r="X21" s="246">
        <f>-(X20*'Mode Operating Assumptions'!$C$8/'Mode Operating Assumptions'!X11)</f>
        <v>39348.873997415947</v>
      </c>
      <c r="Y21" s="246">
        <f>-(Y20*'Mode Operating Assumptions'!$C$8/'Mode Operating Assumptions'!Y11)</f>
        <v>41116.342064223019</v>
      </c>
      <c r="Z21" s="246">
        <f>-(Z20*'Mode Operating Assumptions'!$C$8/'Mode Operating Assumptions'!Z11)</f>
        <v>42917.696446673333</v>
      </c>
      <c r="AA21" s="246">
        <f>-(AA20*'Mode Operating Assumptions'!$C$8/'Mode Operating Assumptions'!AA11)</f>
        <v>44753.598249330076</v>
      </c>
    </row>
    <row r="22" spans="1:27">
      <c r="A22" s="70"/>
      <c r="C22" s="324"/>
    </row>
    <row r="23" spans="1:27">
      <c r="A23" s="70"/>
      <c r="C23" s="324"/>
    </row>
    <row r="24" spans="1:27">
      <c r="A24" s="70"/>
      <c r="C24" s="324"/>
    </row>
    <row r="25" spans="1:27">
      <c r="A25" s="70"/>
      <c r="C25" s="324"/>
    </row>
    <row r="26" spans="1:27">
      <c r="A26" s="70"/>
      <c r="C26" s="324"/>
    </row>
    <row r="27" spans="1:27">
      <c r="A27" s="70"/>
      <c r="C27" s="324"/>
    </row>
    <row r="28" spans="1:27">
      <c r="A28" s="70"/>
      <c r="C28" s="324"/>
    </row>
    <row r="29" spans="1:27">
      <c r="A29" s="70"/>
      <c r="C29" s="324"/>
    </row>
    <row r="30" spans="1:27">
      <c r="A30" s="70"/>
      <c r="C30" s="324"/>
    </row>
    <row r="31" spans="1:27">
      <c r="A31" s="70"/>
      <c r="C31" s="324"/>
    </row>
    <row r="32" spans="1:27">
      <c r="A32" s="70"/>
      <c r="C32" s="324"/>
    </row>
    <row r="33" spans="1:38">
      <c r="A33" s="70"/>
      <c r="C33" s="324"/>
    </row>
    <row r="34" spans="1:38">
      <c r="A34" s="70"/>
      <c r="C34" s="324"/>
    </row>
    <row r="37" spans="1:38" ht="15">
      <c r="A37" s="176" t="s">
        <v>291</v>
      </c>
      <c r="B37" s="137"/>
      <c r="C37" s="137"/>
      <c r="D37" s="137"/>
      <c r="E37" s="137"/>
    </row>
    <row r="38" spans="1:38" ht="15">
      <c r="A38" s="138" t="s">
        <v>223</v>
      </c>
      <c r="C38" t="s">
        <v>292</v>
      </c>
      <c r="D38" t="s">
        <v>293</v>
      </c>
      <c r="E38" t="s">
        <v>294</v>
      </c>
      <c r="F38" t="s">
        <v>292</v>
      </c>
      <c r="G38" t="s">
        <v>293</v>
      </c>
      <c r="H38" t="s">
        <v>294</v>
      </c>
      <c r="I38" t="s">
        <v>292</v>
      </c>
      <c r="J38" t="s">
        <v>293</v>
      </c>
      <c r="K38" t="s">
        <v>294</v>
      </c>
      <c r="L38" t="s">
        <v>292</v>
      </c>
      <c r="M38" t="s">
        <v>293</v>
      </c>
      <c r="N38" t="s">
        <v>294</v>
      </c>
      <c r="O38" t="s">
        <v>292</v>
      </c>
      <c r="P38" t="s">
        <v>293</v>
      </c>
      <c r="Q38" t="s">
        <v>294</v>
      </c>
      <c r="R38" t="s">
        <v>292</v>
      </c>
      <c r="S38" t="s">
        <v>293</v>
      </c>
      <c r="T38" t="s">
        <v>294</v>
      </c>
      <c r="U38" t="s">
        <v>292</v>
      </c>
      <c r="V38" t="s">
        <v>293</v>
      </c>
      <c r="W38" t="s">
        <v>294</v>
      </c>
      <c r="X38" t="s">
        <v>292</v>
      </c>
      <c r="Y38" t="s">
        <v>293</v>
      </c>
      <c r="Z38" t="s">
        <v>294</v>
      </c>
    </row>
    <row r="39" spans="1:38" ht="15">
      <c r="A39" s="138"/>
      <c r="B39" t="s">
        <v>295</v>
      </c>
      <c r="C39" t="s">
        <v>296</v>
      </c>
      <c r="F39" t="s">
        <v>297</v>
      </c>
      <c r="I39" t="s">
        <v>298</v>
      </c>
      <c r="L39" t="s">
        <v>299</v>
      </c>
      <c r="O39" t="s">
        <v>300</v>
      </c>
      <c r="R39" t="s">
        <v>301</v>
      </c>
      <c r="U39" t="s">
        <v>302</v>
      </c>
      <c r="X39" t="s">
        <v>303</v>
      </c>
      <c r="AB39" t="s">
        <v>304</v>
      </c>
    </row>
    <row r="40" spans="1:38">
      <c r="B40" t="s">
        <v>224</v>
      </c>
      <c r="D40" s="133">
        <v>1.9E-2</v>
      </c>
      <c r="G40" s="133">
        <v>1.9E-2</v>
      </c>
      <c r="I40">
        <v>3</v>
      </c>
      <c r="J40" s="133">
        <v>1.9E-2</v>
      </c>
      <c r="M40" s="133">
        <v>1.9E-2</v>
      </c>
      <c r="O40">
        <v>2</v>
      </c>
      <c r="P40" s="133">
        <v>1.9E-2</v>
      </c>
      <c r="R40">
        <v>2</v>
      </c>
      <c r="S40" s="133">
        <v>1.9E-2</v>
      </c>
      <c r="V40" s="133">
        <v>1.9E-2</v>
      </c>
      <c r="Y40" s="133">
        <v>1.9E-2</v>
      </c>
      <c r="AA40" t="s">
        <v>224</v>
      </c>
      <c r="AB40">
        <f>C40+F40+I40+L40+O40+R40+U40+X40</f>
        <v>7</v>
      </c>
      <c r="AC40" s="177">
        <f>AB40/$AB$46</f>
        <v>1.6298020954598369E-3</v>
      </c>
    </row>
    <row r="41" spans="1:38">
      <c r="B41" t="s">
        <v>125</v>
      </c>
      <c r="C41" s="34">
        <v>2</v>
      </c>
      <c r="D41" s="133">
        <v>1.9E-2</v>
      </c>
      <c r="F41" s="34">
        <v>51</v>
      </c>
      <c r="G41" s="133">
        <v>1.9E-2</v>
      </c>
      <c r="I41">
        <v>14</v>
      </c>
      <c r="J41" s="133">
        <v>1.9E-2</v>
      </c>
      <c r="L41">
        <v>29</v>
      </c>
      <c r="M41" s="133">
        <v>1.9E-2</v>
      </c>
      <c r="O41">
        <v>26</v>
      </c>
      <c r="P41" s="133">
        <v>1.9E-2</v>
      </c>
      <c r="R41">
        <v>6</v>
      </c>
      <c r="S41" s="133">
        <v>1.9E-2</v>
      </c>
      <c r="U41">
        <v>47</v>
      </c>
      <c r="V41" s="133">
        <v>1.9E-2</v>
      </c>
      <c r="X41">
        <v>65</v>
      </c>
      <c r="Y41" s="133">
        <v>1.9E-2</v>
      </c>
      <c r="AA41" t="s">
        <v>125</v>
      </c>
      <c r="AB41">
        <f t="shared" ref="AB41:AB46" si="7">C41+F41+I41+L41+O41+R41+U41+X41</f>
        <v>240</v>
      </c>
      <c r="AC41" s="177">
        <f t="shared" ref="AC41:AC45" si="8">AB41/$AB$46</f>
        <v>5.5878928987194411E-2</v>
      </c>
    </row>
    <row r="42" spans="1:38">
      <c r="B42" t="s">
        <v>126</v>
      </c>
      <c r="C42" s="34">
        <v>1143</v>
      </c>
      <c r="D42" s="133">
        <v>1.9E-2</v>
      </c>
      <c r="F42" s="34">
        <v>450</v>
      </c>
      <c r="G42" s="133">
        <v>1.9E-2</v>
      </c>
      <c r="I42">
        <v>305</v>
      </c>
      <c r="J42" s="133">
        <v>1.9E-2</v>
      </c>
      <c r="L42">
        <v>365</v>
      </c>
      <c r="M42" s="133">
        <v>1.9E-2</v>
      </c>
      <c r="O42">
        <v>129</v>
      </c>
      <c r="P42" s="133">
        <v>1.9E-2</v>
      </c>
      <c r="R42">
        <v>15</v>
      </c>
      <c r="S42" s="133">
        <v>1.9E-2</v>
      </c>
      <c r="U42">
        <v>924</v>
      </c>
      <c r="V42" s="133">
        <v>1.9E-2</v>
      </c>
      <c r="X42">
        <v>702</v>
      </c>
      <c r="Y42" s="133">
        <v>1.9E-2</v>
      </c>
      <c r="AA42" t="s">
        <v>126</v>
      </c>
      <c r="AB42">
        <f t="shared" si="7"/>
        <v>4033</v>
      </c>
      <c r="AC42" s="177">
        <f t="shared" si="8"/>
        <v>0.93899883585564614</v>
      </c>
    </row>
    <row r="43" spans="1:38">
      <c r="B43" t="s">
        <v>225</v>
      </c>
      <c r="C43" s="34">
        <v>2</v>
      </c>
      <c r="D43" s="133">
        <v>1.9E-2</v>
      </c>
      <c r="F43" s="34">
        <v>1</v>
      </c>
      <c r="G43" s="133">
        <v>1.9E-2</v>
      </c>
      <c r="I43">
        <v>1</v>
      </c>
      <c r="J43" s="133">
        <v>1.9E-2</v>
      </c>
      <c r="L43">
        <v>2</v>
      </c>
      <c r="M43" s="133">
        <v>1.9E-2</v>
      </c>
      <c r="P43" s="133">
        <v>1.9E-2</v>
      </c>
      <c r="S43" s="133">
        <v>1.9E-2</v>
      </c>
      <c r="U43">
        <v>5</v>
      </c>
      <c r="V43" s="133">
        <v>1.9E-2</v>
      </c>
      <c r="X43">
        <v>2</v>
      </c>
      <c r="Y43" s="133">
        <v>1.9E-2</v>
      </c>
      <c r="AA43" t="s">
        <v>225</v>
      </c>
      <c r="AB43">
        <f t="shared" si="7"/>
        <v>13</v>
      </c>
      <c r="AC43" s="177">
        <f t="shared" si="8"/>
        <v>3.0267753201396975E-3</v>
      </c>
    </row>
    <row r="44" spans="1:38">
      <c r="B44" t="s">
        <v>127</v>
      </c>
      <c r="D44" s="133">
        <v>1.9E-2</v>
      </c>
      <c r="F44" s="34"/>
      <c r="G44" s="133">
        <v>1.9E-2</v>
      </c>
      <c r="J44" s="133">
        <v>1.9E-2</v>
      </c>
      <c r="M44" s="133">
        <v>1.9E-2</v>
      </c>
      <c r="P44" s="133">
        <v>1.9E-2</v>
      </c>
      <c r="S44" s="133">
        <v>1.9E-2</v>
      </c>
      <c r="V44" s="133">
        <v>1.9E-2</v>
      </c>
      <c r="Y44" s="133">
        <v>1.9E-2</v>
      </c>
      <c r="AA44" t="s">
        <v>127</v>
      </c>
      <c r="AB44">
        <f t="shared" si="7"/>
        <v>0</v>
      </c>
      <c r="AC44" s="177">
        <f t="shared" si="8"/>
        <v>0</v>
      </c>
    </row>
    <row r="45" spans="1:38">
      <c r="B45" t="s">
        <v>305</v>
      </c>
      <c r="D45" s="133">
        <v>1.9E-2</v>
      </c>
      <c r="F45" s="34">
        <v>2</v>
      </c>
      <c r="G45" s="133">
        <v>1.9E-2</v>
      </c>
      <c r="J45" s="133">
        <v>1.9E-2</v>
      </c>
      <c r="M45" s="133">
        <v>1.9E-2</v>
      </c>
      <c r="P45" s="133">
        <v>1.9E-2</v>
      </c>
      <c r="S45" s="133">
        <v>1.9E-2</v>
      </c>
      <c r="V45" s="133">
        <v>1.9E-2</v>
      </c>
      <c r="Y45" s="133">
        <v>1.9E-2</v>
      </c>
      <c r="AA45" t="s">
        <v>305</v>
      </c>
      <c r="AB45">
        <f t="shared" si="7"/>
        <v>2</v>
      </c>
      <c r="AC45" s="177">
        <f t="shared" si="8"/>
        <v>4.6565774155995343E-4</v>
      </c>
    </row>
    <row r="46" spans="1:38">
      <c r="C46" s="34">
        <f>SUM(C40:C45)</f>
        <v>1147</v>
      </c>
      <c r="F46" s="34">
        <f>SUM(F40:F45)</f>
        <v>504</v>
      </c>
      <c r="I46" s="34">
        <f>SUM(I40:I45)</f>
        <v>323</v>
      </c>
      <c r="L46" s="34">
        <f>SUM(L40:L45)</f>
        <v>396</v>
      </c>
      <c r="O46" s="34">
        <f>SUM(O40:O45)</f>
        <v>157</v>
      </c>
      <c r="R46" s="34">
        <f>SUM(R40:R45)</f>
        <v>23</v>
      </c>
      <c r="U46" s="34">
        <f>SUM(U40:U45)</f>
        <v>976</v>
      </c>
      <c r="X46" s="34">
        <f>SUM(X40:X45)</f>
        <v>769</v>
      </c>
      <c r="AB46">
        <f t="shared" si="7"/>
        <v>4295</v>
      </c>
      <c r="AC46" s="34"/>
    </row>
    <row r="47" spans="1:38" ht="15">
      <c r="A47" s="138" t="s">
        <v>226</v>
      </c>
      <c r="F47" s="34"/>
      <c r="AC47" t="s">
        <v>306</v>
      </c>
      <c r="AE47" t="s">
        <v>307</v>
      </c>
      <c r="AF47" t="s">
        <v>308</v>
      </c>
      <c r="AG47" t="s">
        <v>309</v>
      </c>
      <c r="AH47" t="s">
        <v>310</v>
      </c>
      <c r="AI47" t="s">
        <v>311</v>
      </c>
      <c r="AJ47" t="s">
        <v>312</v>
      </c>
      <c r="AK47" t="s">
        <v>313</v>
      </c>
      <c r="AL47" t="s">
        <v>314</v>
      </c>
    </row>
    <row r="48" spans="1:38" ht="15">
      <c r="A48" s="138"/>
      <c r="B48" t="s">
        <v>295</v>
      </c>
      <c r="F48" s="34"/>
    </row>
    <row r="49" spans="1:38">
      <c r="B49" t="s">
        <v>224</v>
      </c>
      <c r="C49" s="34">
        <v>171</v>
      </c>
      <c r="D49" s="178"/>
      <c r="F49" s="89"/>
      <c r="I49" s="89"/>
      <c r="L49" s="89"/>
      <c r="O49" s="89"/>
      <c r="U49" s="89"/>
      <c r="X49" s="89"/>
      <c r="AA49" t="s">
        <v>224</v>
      </c>
      <c r="AB49" s="89"/>
      <c r="AC49" s="89">
        <v>0.04</v>
      </c>
      <c r="AD49" s="34"/>
      <c r="AE49" s="178">
        <v>0.05</v>
      </c>
      <c r="AF49" s="89">
        <v>0.04</v>
      </c>
      <c r="AG49" s="89">
        <v>0.05</v>
      </c>
      <c r="AH49" s="89">
        <v>0.02</v>
      </c>
      <c r="AI49" s="89">
        <v>0.04</v>
      </c>
      <c r="AK49" s="89">
        <v>0.05</v>
      </c>
      <c r="AL49" s="89">
        <v>0.06</v>
      </c>
    </row>
    <row r="50" spans="1:38">
      <c r="B50" t="s">
        <v>125</v>
      </c>
      <c r="C50" s="34">
        <v>2959</v>
      </c>
      <c r="D50" s="178"/>
      <c r="L50" s="89"/>
      <c r="O50" s="89"/>
      <c r="R50" s="89"/>
      <c r="U50" s="89"/>
      <c r="X50" s="89"/>
      <c r="AA50" t="s">
        <v>125</v>
      </c>
      <c r="AB50" s="89"/>
      <c r="AC50" s="89">
        <v>0.69</v>
      </c>
      <c r="AD50" s="34"/>
      <c r="AE50" s="178">
        <v>0.66</v>
      </c>
      <c r="AF50" s="89">
        <v>0.72</v>
      </c>
      <c r="AG50" s="89">
        <v>0.73</v>
      </c>
      <c r="AH50" s="89">
        <v>0.76</v>
      </c>
      <c r="AI50" s="89">
        <v>0.77</v>
      </c>
      <c r="AJ50" s="89">
        <v>0.87</v>
      </c>
      <c r="AK50" s="89">
        <v>0.66</v>
      </c>
      <c r="AL50" s="89">
        <v>0.65</v>
      </c>
    </row>
    <row r="51" spans="1:38">
      <c r="B51" t="s">
        <v>126</v>
      </c>
      <c r="C51" s="34">
        <v>42</v>
      </c>
      <c r="D51" s="178"/>
      <c r="L51" s="133"/>
      <c r="O51" s="89"/>
      <c r="U51" s="89"/>
      <c r="X51" s="133"/>
      <c r="AA51" t="s">
        <v>126</v>
      </c>
      <c r="AB51" s="89"/>
      <c r="AC51" s="89">
        <v>0.01</v>
      </c>
      <c r="AD51" s="34"/>
      <c r="AE51" s="178">
        <v>0.02</v>
      </c>
      <c r="AF51" s="89">
        <v>0.02</v>
      </c>
      <c r="AG51" s="89">
        <v>0.01</v>
      </c>
      <c r="AH51" s="133">
        <v>8.0000000000000002E-3</v>
      </c>
      <c r="AI51" s="89">
        <v>0.01</v>
      </c>
      <c r="AK51" s="89">
        <v>0.01</v>
      </c>
      <c r="AL51" s="133">
        <v>6.0000000000000001E-3</v>
      </c>
    </row>
    <row r="52" spans="1:38">
      <c r="B52" t="s">
        <v>225</v>
      </c>
      <c r="C52" s="34">
        <v>9</v>
      </c>
      <c r="D52" s="178"/>
      <c r="U52" s="133"/>
      <c r="X52" s="133"/>
      <c r="AA52" t="s">
        <v>225</v>
      </c>
      <c r="AB52" s="89"/>
      <c r="AC52" s="133">
        <v>2E-3</v>
      </c>
      <c r="AD52" s="34"/>
      <c r="AE52" s="178">
        <v>3.0000000000000001E-3</v>
      </c>
      <c r="AK52" s="133">
        <v>2E-3</v>
      </c>
      <c r="AL52" s="133">
        <v>4.0000000000000001E-3</v>
      </c>
    </row>
    <row r="53" spans="1:38">
      <c r="B53" t="s">
        <v>127</v>
      </c>
      <c r="C53" s="34"/>
      <c r="AA53" t="s">
        <v>127</v>
      </c>
      <c r="AB53" s="89"/>
      <c r="AD53" s="34"/>
    </row>
    <row r="54" spans="1:38">
      <c r="B54" t="s">
        <v>315</v>
      </c>
      <c r="C54" s="34">
        <v>1029</v>
      </c>
      <c r="D54" s="89"/>
      <c r="L54" s="89"/>
      <c r="O54" s="89"/>
      <c r="R54" s="89"/>
      <c r="U54" s="89"/>
      <c r="X54" s="89"/>
      <c r="AA54" t="s">
        <v>315</v>
      </c>
      <c r="AB54" s="89"/>
      <c r="AC54" s="89">
        <v>0.24</v>
      </c>
      <c r="AD54" s="34"/>
      <c r="AE54" s="89">
        <v>0.25</v>
      </c>
      <c r="AF54" s="89">
        <v>0.2</v>
      </c>
      <c r="AG54" s="89">
        <v>0.18</v>
      </c>
      <c r="AH54" s="89">
        <v>0.19</v>
      </c>
      <c r="AI54" s="89">
        <v>0.16</v>
      </c>
      <c r="AJ54" s="89">
        <v>7.0000000000000007E-2</v>
      </c>
      <c r="AK54" s="89">
        <v>0.25</v>
      </c>
      <c r="AL54" s="89">
        <v>0.28000000000000003</v>
      </c>
    </row>
    <row r="55" spans="1:38">
      <c r="B55" t="s">
        <v>305</v>
      </c>
      <c r="C55" s="34">
        <v>85</v>
      </c>
      <c r="D55" s="89"/>
      <c r="L55" s="89"/>
      <c r="O55" s="89"/>
      <c r="R55" s="89"/>
      <c r="U55" s="89"/>
      <c r="AA55" t="s">
        <v>305</v>
      </c>
      <c r="AB55" s="89"/>
      <c r="AC55" s="89">
        <v>0.02</v>
      </c>
      <c r="AD55" s="34"/>
      <c r="AE55" s="89">
        <v>1.7000000000000001E-2</v>
      </c>
      <c r="AF55" s="89">
        <v>0.02</v>
      </c>
      <c r="AG55" s="89">
        <v>0.03</v>
      </c>
      <c r="AH55" s="89">
        <v>0.02</v>
      </c>
      <c r="AI55" s="89">
        <v>0.02</v>
      </c>
      <c r="AJ55" s="89">
        <v>0.06</v>
      </c>
      <c r="AK55" s="89">
        <v>0.03</v>
      </c>
    </row>
    <row r="56" spans="1:38" ht="15">
      <c r="A56" s="138" t="s">
        <v>227</v>
      </c>
    </row>
    <row r="57" spans="1:38">
      <c r="B57" t="s">
        <v>228</v>
      </c>
      <c r="C57" t="s">
        <v>316</v>
      </c>
    </row>
    <row r="58" spans="1:38">
      <c r="B58" t="s">
        <v>225</v>
      </c>
      <c r="C58" t="s">
        <v>316</v>
      </c>
    </row>
    <row r="60" spans="1:38" ht="15">
      <c r="A60" s="138" t="s">
        <v>317</v>
      </c>
      <c r="C60" t="s">
        <v>318</v>
      </c>
      <c r="D60" t="s">
        <v>305</v>
      </c>
    </row>
    <row r="61" spans="1:38" ht="15">
      <c r="A61" s="138"/>
      <c r="B61" t="s">
        <v>295</v>
      </c>
    </row>
    <row r="62" spans="1:38">
      <c r="B62" t="s">
        <v>319</v>
      </c>
      <c r="C62" s="89">
        <v>0.97</v>
      </c>
      <c r="D62" s="89">
        <v>0.03</v>
      </c>
    </row>
    <row r="63" spans="1:38">
      <c r="B63" t="s">
        <v>320</v>
      </c>
      <c r="C63" t="s">
        <v>321</v>
      </c>
      <c r="D63" t="s">
        <v>321</v>
      </c>
    </row>
    <row r="64" spans="1:38">
      <c r="B64" t="s">
        <v>227</v>
      </c>
      <c r="C64" t="s">
        <v>316</v>
      </c>
      <c r="D64" t="s">
        <v>316</v>
      </c>
    </row>
    <row r="66" spans="1:3" ht="15">
      <c r="A66" s="138" t="s">
        <v>322</v>
      </c>
    </row>
    <row r="67" spans="1:3" ht="15">
      <c r="A67" s="138"/>
      <c r="B67" t="s">
        <v>295</v>
      </c>
    </row>
    <row r="68" spans="1:3" ht="15">
      <c r="A68" s="138"/>
      <c r="B68" t="s">
        <v>323</v>
      </c>
      <c r="C68" s="133">
        <v>5.0000000000000001E-3</v>
      </c>
    </row>
    <row r="69" spans="1:3" ht="15">
      <c r="A69" s="138"/>
      <c r="B69" s="179" t="s">
        <v>324</v>
      </c>
      <c r="C69" s="89">
        <v>0.03</v>
      </c>
    </row>
    <row r="70" spans="1:3" ht="15">
      <c r="A70" s="138"/>
      <c r="B70" t="s">
        <v>325</v>
      </c>
      <c r="C70" s="89">
        <v>7.0000000000000007E-2</v>
      </c>
    </row>
    <row r="71" spans="1:3" ht="15">
      <c r="A71" s="138"/>
      <c r="B71" s="179" t="s">
        <v>326</v>
      </c>
      <c r="C71" s="89">
        <v>0.13</v>
      </c>
    </row>
    <row r="72" spans="1:3" ht="15">
      <c r="A72" s="138"/>
      <c r="B72" t="s">
        <v>327</v>
      </c>
      <c r="C72" s="89">
        <v>0.21</v>
      </c>
    </row>
    <row r="73" spans="1:3" ht="15">
      <c r="A73" s="138"/>
      <c r="B73" s="179" t="s">
        <v>328</v>
      </c>
      <c r="C73" s="89">
        <v>0.16</v>
      </c>
    </row>
    <row r="74" spans="1:3" ht="15">
      <c r="A74" s="138"/>
      <c r="B74" t="s">
        <v>329</v>
      </c>
      <c r="C74" s="89">
        <v>0.11</v>
      </c>
    </row>
    <row r="75" spans="1:3" ht="15">
      <c r="A75" s="138"/>
      <c r="B75" s="179" t="s">
        <v>330</v>
      </c>
      <c r="C75" s="89">
        <v>0.19</v>
      </c>
    </row>
    <row r="76" spans="1:3" ht="15">
      <c r="A76" s="138"/>
      <c r="B76" s="179" t="s">
        <v>331</v>
      </c>
      <c r="C76" s="89">
        <v>9.5000000000000001E-2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3:D38"/>
  <sheetViews>
    <sheetView topLeftCell="A10" workbookViewId="0">
      <selection activeCell="D28" sqref="D28"/>
    </sheetView>
  </sheetViews>
  <sheetFormatPr defaultRowHeight="12.75"/>
  <cols>
    <col min="2" max="2" width="26.7109375" customWidth="1"/>
    <col min="3" max="3" width="62.5703125" customWidth="1"/>
    <col min="4" max="4" width="47" customWidth="1"/>
  </cols>
  <sheetData>
    <row r="3" spans="1:4">
      <c r="A3" s="44" t="s">
        <v>222</v>
      </c>
      <c r="B3" s="55"/>
    </row>
    <row r="4" spans="1:4">
      <c r="C4" s="3" t="s">
        <v>232</v>
      </c>
      <c r="D4" s="3" t="s">
        <v>49</v>
      </c>
    </row>
    <row r="5" spans="1:4" ht="26.25">
      <c r="A5" s="138"/>
      <c r="B5" s="215" t="s">
        <v>228</v>
      </c>
      <c r="C5" s="140" t="s">
        <v>237</v>
      </c>
      <c r="D5" s="142" t="s">
        <v>238</v>
      </c>
    </row>
    <row r="6" spans="1:4" ht="25.5">
      <c r="B6" s="215" t="s">
        <v>225</v>
      </c>
      <c r="C6" s="140" t="s">
        <v>239</v>
      </c>
      <c r="D6" s="142" t="s">
        <v>240</v>
      </c>
    </row>
    <row r="7" spans="1:4" ht="25.5">
      <c r="B7" s="215" t="s">
        <v>372</v>
      </c>
      <c r="C7" s="140" t="s">
        <v>422</v>
      </c>
      <c r="D7" s="142" t="s">
        <v>236</v>
      </c>
    </row>
    <row r="8" spans="1:4">
      <c r="B8" s="211"/>
      <c r="C8" s="141"/>
      <c r="D8" s="143"/>
    </row>
    <row r="9" spans="1:4" ht="25.5">
      <c r="B9" s="212" t="s">
        <v>234</v>
      </c>
      <c r="C9" s="140" t="s">
        <v>244</v>
      </c>
      <c r="D9" s="142" t="s">
        <v>241</v>
      </c>
    </row>
    <row r="10" spans="1:4" ht="25.5">
      <c r="B10" s="212" t="s">
        <v>235</v>
      </c>
      <c r="C10" s="140" t="s">
        <v>242</v>
      </c>
      <c r="D10" s="142" t="s">
        <v>243</v>
      </c>
    </row>
    <row r="11" spans="1:4">
      <c r="B11" s="211"/>
      <c r="C11" s="139"/>
      <c r="D11" s="144"/>
    </row>
    <row r="12" spans="1:4">
      <c r="B12" s="211"/>
      <c r="C12" s="139"/>
      <c r="D12" s="144"/>
    </row>
    <row r="13" spans="1:4">
      <c r="B13" s="211"/>
      <c r="C13" s="139"/>
      <c r="D13" s="144"/>
    </row>
    <row r="14" spans="1:4">
      <c r="B14" s="211"/>
      <c r="C14" s="139"/>
      <c r="D14" s="139"/>
    </row>
    <row r="15" spans="1:4">
      <c r="B15" s="213"/>
      <c r="C15" s="139"/>
      <c r="D15" s="139"/>
    </row>
    <row r="16" spans="1:4">
      <c r="A16" s="44" t="s">
        <v>233</v>
      </c>
      <c r="B16" s="211"/>
      <c r="C16" s="3" t="s">
        <v>232</v>
      </c>
      <c r="D16" s="3" t="s">
        <v>49</v>
      </c>
    </row>
    <row r="17" spans="1:4" ht="38.25">
      <c r="B17" s="214" t="s">
        <v>373</v>
      </c>
      <c r="C17" s="142" t="s">
        <v>423</v>
      </c>
      <c r="D17" s="142" t="s">
        <v>374</v>
      </c>
    </row>
    <row r="18" spans="1:4">
      <c r="B18" s="53"/>
      <c r="C18" s="139"/>
      <c r="D18" s="139"/>
    </row>
    <row r="19" spans="1:4" ht="15">
      <c r="A19" s="138"/>
      <c r="C19" s="139"/>
      <c r="D19" s="139"/>
    </row>
    <row r="20" spans="1:4">
      <c r="C20" s="25"/>
    </row>
    <row r="21" spans="1:4">
      <c r="A21" s="37" t="s">
        <v>0</v>
      </c>
      <c r="B21" s="38"/>
      <c r="C21" s="25"/>
    </row>
    <row r="22" spans="1:4">
      <c r="A22" s="2"/>
      <c r="B22" s="2" t="s">
        <v>2</v>
      </c>
      <c r="C22" s="25"/>
    </row>
    <row r="23" spans="1:4">
      <c r="A23" s="2"/>
      <c r="B23" s="2" t="s">
        <v>4</v>
      </c>
      <c r="C23" s="25"/>
    </row>
    <row r="24" spans="1:4">
      <c r="A24" s="2"/>
      <c r="B24" s="2" t="s">
        <v>5</v>
      </c>
      <c r="C24" s="25"/>
    </row>
    <row r="25" spans="1:4">
      <c r="A25" s="2"/>
      <c r="B25" s="2" t="s">
        <v>6</v>
      </c>
      <c r="C25" s="25"/>
    </row>
    <row r="26" spans="1:4">
      <c r="A26" s="2"/>
      <c r="B26" s="2" t="s">
        <v>7</v>
      </c>
      <c r="C26" s="25"/>
    </row>
    <row r="27" spans="1:4">
      <c r="A27" s="2"/>
      <c r="B27" s="2" t="s">
        <v>8</v>
      </c>
      <c r="C27" s="25"/>
    </row>
    <row r="28" spans="1:4">
      <c r="A28" s="2"/>
      <c r="B28" s="2" t="s">
        <v>9</v>
      </c>
      <c r="C28" s="25"/>
    </row>
    <row r="29" spans="1:4">
      <c r="A29" s="2"/>
      <c r="B29" s="2" t="s">
        <v>10</v>
      </c>
      <c r="C29" s="25"/>
    </row>
    <row r="30" spans="1:4">
      <c r="A30" s="2"/>
      <c r="B30" s="2" t="s">
        <v>11</v>
      </c>
      <c r="C30" s="25"/>
    </row>
    <row r="31" spans="1:4">
      <c r="A31" s="2"/>
      <c r="B31" s="2"/>
      <c r="C31" s="25"/>
    </row>
    <row r="32" spans="1:4">
      <c r="C32" s="25"/>
    </row>
    <row r="33" spans="1:3">
      <c r="A33" s="37" t="s">
        <v>1</v>
      </c>
      <c r="B33" s="38"/>
      <c r="C33" s="25"/>
    </row>
    <row r="34" spans="1:3">
      <c r="A34" s="2"/>
      <c r="B34" s="2" t="s">
        <v>3</v>
      </c>
      <c r="C34" s="25"/>
    </row>
    <row r="35" spans="1:3">
      <c r="A35" s="2"/>
      <c r="B35" s="2" t="s">
        <v>81</v>
      </c>
      <c r="C35" s="25"/>
    </row>
    <row r="36" spans="1:3">
      <c r="A36" s="2"/>
      <c r="B36" s="2"/>
      <c r="C36" s="25"/>
    </row>
    <row r="37" spans="1:3">
      <c r="A37" s="25"/>
      <c r="B37" s="25"/>
      <c r="C37" s="25"/>
    </row>
    <row r="38" spans="1:3">
      <c r="C38" s="25"/>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sheetPr enableFormatConditionsCalculation="0">
    <tabColor rgb="FF99CC00"/>
  </sheetPr>
  <dimension ref="A1:AB198"/>
  <sheetViews>
    <sheetView workbookViewId="0">
      <pane xSplit="1" ySplit="2" topLeftCell="B3" activePane="bottomRight" state="frozen"/>
      <selection activeCell="B10" sqref="B10"/>
      <selection pane="topRight" activeCell="B10" sqref="B10"/>
      <selection pane="bottomLeft" activeCell="B10" sqref="B10"/>
      <selection pane="bottomRight" activeCell="E42" sqref="E42"/>
    </sheetView>
  </sheetViews>
  <sheetFormatPr defaultRowHeight="12.75"/>
  <cols>
    <col min="1" max="1" width="48.140625" bestFit="1" customWidth="1"/>
    <col min="2" max="2" width="12.7109375" bestFit="1" customWidth="1"/>
    <col min="3" max="4" width="11.140625" customWidth="1"/>
    <col min="5" max="5" width="10.140625" customWidth="1"/>
  </cols>
  <sheetData>
    <row r="1" spans="1:27" s="74" customFormat="1">
      <c r="D1" s="79"/>
    </row>
    <row r="2" spans="1:27" s="74" customFormat="1">
      <c r="B2" s="131"/>
      <c r="D2" s="79"/>
    </row>
    <row r="3" spans="1:27" s="74" customFormat="1">
      <c r="A3" s="342" t="s">
        <v>449</v>
      </c>
      <c r="B3" s="131"/>
      <c r="D3" s="79"/>
    </row>
    <row r="4" spans="1:27" s="74" customFormat="1">
      <c r="A4" s="3" t="s">
        <v>37</v>
      </c>
      <c r="B4" s="31"/>
      <c r="C4" s="31"/>
      <c r="D4" s="31"/>
    </row>
    <row r="5" spans="1:27" s="74" customFormat="1">
      <c r="A5" s="4" t="s">
        <v>14</v>
      </c>
      <c r="B5" s="32"/>
      <c r="C5" s="129">
        <v>12.623100280761699</v>
      </c>
    </row>
    <row r="6" spans="1:27" s="74" customFormat="1">
      <c r="A6" t="s">
        <v>15</v>
      </c>
      <c r="B6" s="31"/>
      <c r="C6" s="130"/>
    </row>
    <row r="7" spans="1:27" s="74" customFormat="1">
      <c r="A7" t="s">
        <v>16</v>
      </c>
      <c r="B7" s="31"/>
      <c r="C7" s="130"/>
    </row>
    <row r="8" spans="1:27" s="74" customFormat="1">
      <c r="A8" t="s">
        <v>17</v>
      </c>
      <c r="B8" s="81"/>
      <c r="C8" s="82">
        <v>3.7625005069206012</v>
      </c>
    </row>
    <row r="9" spans="1:27" s="74" customFormat="1">
      <c r="A9"/>
      <c r="B9" s="31"/>
      <c r="C9" s="84"/>
    </row>
    <row r="10" spans="1:27" s="74" customFormat="1">
      <c r="A10" s="3" t="s">
        <v>38</v>
      </c>
      <c r="B10" s="31"/>
      <c r="C10" s="84">
        <v>2011</v>
      </c>
      <c r="D10" s="84">
        <v>2012</v>
      </c>
      <c r="E10" s="84">
        <v>2013</v>
      </c>
      <c r="F10" s="84">
        <v>2014</v>
      </c>
      <c r="G10" s="84">
        <v>2015</v>
      </c>
      <c r="H10" s="84">
        <v>2016</v>
      </c>
      <c r="I10" s="84">
        <v>2017</v>
      </c>
      <c r="J10" s="84">
        <v>2018</v>
      </c>
      <c r="K10" s="84">
        <v>2019</v>
      </c>
      <c r="L10" s="84">
        <v>2020</v>
      </c>
      <c r="M10" s="84">
        <v>2021</v>
      </c>
      <c r="N10" s="84">
        <v>2022</v>
      </c>
      <c r="O10" s="84">
        <v>2023</v>
      </c>
      <c r="P10" s="84">
        <v>2024</v>
      </c>
      <c r="Q10" s="84">
        <v>2025</v>
      </c>
      <c r="R10" s="84">
        <v>2026</v>
      </c>
      <c r="S10" s="84">
        <v>2027</v>
      </c>
      <c r="T10" s="84">
        <v>2028</v>
      </c>
      <c r="U10" s="84">
        <v>2029</v>
      </c>
      <c r="V10" s="84">
        <v>2030</v>
      </c>
      <c r="W10" s="84">
        <v>2031</v>
      </c>
      <c r="X10" s="84">
        <v>2032</v>
      </c>
      <c r="Y10" s="84">
        <v>2033</v>
      </c>
      <c r="Z10" s="84">
        <v>2034</v>
      </c>
      <c r="AA10" s="84">
        <v>2035</v>
      </c>
    </row>
    <row r="11" spans="1:27" s="74" customFormat="1">
      <c r="A11" s="24" t="s">
        <v>114</v>
      </c>
      <c r="B11" s="33"/>
      <c r="C11" s="26">
        <v>20.858525999999998</v>
      </c>
      <c r="D11" s="26">
        <v>21.350803999999997</v>
      </c>
      <c r="E11" s="26">
        <v>21.843081999999995</v>
      </c>
      <c r="F11" s="26">
        <v>22.335359999999994</v>
      </c>
      <c r="G11" s="26">
        <v>22.827637999999997</v>
      </c>
      <c r="H11" s="26">
        <v>23.319915999999999</v>
      </c>
      <c r="I11" s="26">
        <v>23.812193999999998</v>
      </c>
      <c r="J11" s="26">
        <v>24.304471999999997</v>
      </c>
      <c r="K11">
        <v>24.796749999999999</v>
      </c>
      <c r="L11" s="26">
        <v>24.809888000000001</v>
      </c>
      <c r="M11" s="26">
        <v>24.823026000000002</v>
      </c>
      <c r="N11" s="26">
        <v>24.836164000000004</v>
      </c>
      <c r="O11" s="26">
        <v>24.849302000000002</v>
      </c>
      <c r="P11" s="26">
        <v>24.862439999999999</v>
      </c>
      <c r="Q11" s="26">
        <v>24.875578000000001</v>
      </c>
      <c r="R11" s="26">
        <v>24.888716000000002</v>
      </c>
      <c r="S11" s="26">
        <v>24.901854</v>
      </c>
      <c r="T11" s="26">
        <v>24.914991999999998</v>
      </c>
      <c r="U11">
        <v>24.928129999999999</v>
      </c>
      <c r="V11" s="26">
        <v>24.941268000000001</v>
      </c>
      <c r="W11" s="26">
        <v>24.954405999999999</v>
      </c>
      <c r="X11" s="26">
        <v>24.967544</v>
      </c>
      <c r="Y11">
        <v>24.980682000000002</v>
      </c>
      <c r="Z11" s="26">
        <v>24.993819999999999</v>
      </c>
      <c r="AA11" s="26">
        <v>25.006958000000001</v>
      </c>
    </row>
    <row r="12" spans="1:27" s="74" customFormat="1">
      <c r="A12"/>
      <c r="B12"/>
      <c r="C12" s="84"/>
    </row>
    <row r="13" spans="1:27" s="74" customFormat="1">
      <c r="A13" s="3" t="s">
        <v>464</v>
      </c>
      <c r="B13"/>
      <c r="C13" s="84"/>
    </row>
    <row r="14" spans="1:27" s="74" customFormat="1">
      <c r="A14" t="s">
        <v>111</v>
      </c>
      <c r="B14" s="82"/>
      <c r="C14" s="82">
        <v>0.33700000000000002</v>
      </c>
    </row>
    <row r="15" spans="1:27" s="74" customFormat="1"/>
    <row r="16" spans="1:27" s="74" customFormat="1">
      <c r="A16"/>
      <c r="B16" s="82"/>
      <c r="C16" s="82"/>
    </row>
    <row r="17" spans="1:28" s="74" customFormat="1">
      <c r="A17" s="262" t="s">
        <v>454</v>
      </c>
      <c r="B17"/>
      <c r="C17"/>
      <c r="V17" s="317">
        <f>T19-U19</f>
        <v>7.215108484931676E-2</v>
      </c>
    </row>
    <row r="18" spans="1:28" s="74" customFormat="1">
      <c r="A18" s="26" t="s">
        <v>134</v>
      </c>
      <c r="B18" s="26"/>
      <c r="C18" s="26">
        <v>1.79</v>
      </c>
      <c r="D18" s="75">
        <v>2012</v>
      </c>
      <c r="E18" s="75">
        <v>2013</v>
      </c>
      <c r="F18" s="75">
        <v>2014</v>
      </c>
      <c r="G18" s="75">
        <v>2015</v>
      </c>
      <c r="H18" s="75">
        <v>2016</v>
      </c>
      <c r="I18" s="75">
        <v>2017</v>
      </c>
      <c r="J18" s="75">
        <v>2018</v>
      </c>
      <c r="K18" s="75">
        <v>2019</v>
      </c>
      <c r="L18" s="75">
        <v>2020</v>
      </c>
      <c r="M18" s="75">
        <v>2021</v>
      </c>
      <c r="N18" s="75">
        <v>2022</v>
      </c>
      <c r="O18" s="75">
        <v>2023</v>
      </c>
      <c r="P18" s="75">
        <v>2024</v>
      </c>
      <c r="Q18" s="75">
        <v>2025</v>
      </c>
      <c r="R18" s="75">
        <v>2026</v>
      </c>
      <c r="S18" s="75">
        <v>2027</v>
      </c>
      <c r="T18" s="75">
        <v>2028</v>
      </c>
      <c r="U18" s="75">
        <v>2029</v>
      </c>
      <c r="V18" s="75">
        <v>2030</v>
      </c>
      <c r="W18" s="75">
        <v>2031</v>
      </c>
      <c r="X18" s="75">
        <v>2032</v>
      </c>
      <c r="Y18" s="75">
        <v>2033</v>
      </c>
      <c r="Z18" s="75">
        <v>2034</v>
      </c>
      <c r="AA18" s="75">
        <v>2035</v>
      </c>
    </row>
    <row r="19" spans="1:28" s="74" customFormat="1">
      <c r="A19" s="26" t="s">
        <v>106</v>
      </c>
      <c r="B19" s="26"/>
      <c r="C19" s="26">
        <v>21.198719527287729</v>
      </c>
      <c r="D19" s="26">
        <f>C19+((19.9-C19)/(2030-D18))</f>
        <v>21.126568442438412</v>
      </c>
      <c r="E19" s="26">
        <f t="shared" ref="E19:U19" si="0">D19+((19.9-D19)/(2030-E18))</f>
        <v>21.054417357589095</v>
      </c>
      <c r="F19" s="26">
        <f t="shared" si="0"/>
        <v>20.982266272739778</v>
      </c>
      <c r="G19" s="26">
        <f t="shared" si="0"/>
        <v>20.910115187890458</v>
      </c>
      <c r="H19" s="26">
        <f t="shared" si="0"/>
        <v>20.837964103041138</v>
      </c>
      <c r="I19" s="26">
        <f t="shared" si="0"/>
        <v>20.765813018191821</v>
      </c>
      <c r="J19" s="26">
        <f t="shared" si="0"/>
        <v>20.693661933342504</v>
      </c>
      <c r="K19" s="26">
        <f t="shared" si="0"/>
        <v>20.621510848493184</v>
      </c>
      <c r="L19" s="26">
        <f t="shared" si="0"/>
        <v>20.549359763643864</v>
      </c>
      <c r="M19" s="26">
        <f t="shared" si="0"/>
        <v>20.477208678794547</v>
      </c>
      <c r="N19" s="26">
        <f t="shared" si="0"/>
        <v>20.40505759394523</v>
      </c>
      <c r="O19" s="26">
        <f t="shared" si="0"/>
        <v>20.33290650909591</v>
      </c>
      <c r="P19" s="26">
        <f t="shared" si="0"/>
        <v>20.260755424246589</v>
      </c>
      <c r="Q19" s="26">
        <f t="shared" si="0"/>
        <v>20.188604339397273</v>
      </c>
      <c r="R19" s="26">
        <f t="shared" si="0"/>
        <v>20.116453254547956</v>
      </c>
      <c r="S19" s="26">
        <f t="shared" si="0"/>
        <v>20.044302169698636</v>
      </c>
      <c r="T19" s="26">
        <f t="shared" si="0"/>
        <v>19.972151084849315</v>
      </c>
      <c r="U19" s="264">
        <f t="shared" si="0"/>
        <v>19.899999999999999</v>
      </c>
      <c r="V19" s="264">
        <f t="shared" ref="V19:AA19" si="1">U19-$V$17</f>
        <v>19.827848915150682</v>
      </c>
      <c r="W19" s="264">
        <f t="shared" si="1"/>
        <v>19.755697830301365</v>
      </c>
      <c r="X19" s="264">
        <f t="shared" si="1"/>
        <v>19.683546745452048</v>
      </c>
      <c r="Y19" s="264">
        <f t="shared" si="1"/>
        <v>19.611395660602732</v>
      </c>
      <c r="Z19" s="264">
        <f t="shared" si="1"/>
        <v>19.539244575753415</v>
      </c>
      <c r="AA19" s="264">
        <f t="shared" si="1"/>
        <v>19.467093490904098</v>
      </c>
      <c r="AB19" s="316" t="s">
        <v>539</v>
      </c>
    </row>
    <row r="20" spans="1:28" s="74" customFormat="1">
      <c r="A20" s="26" t="s">
        <v>218</v>
      </c>
      <c r="B20" s="26"/>
      <c r="C20" s="264">
        <f>($C$18/C19)+(5/60)</f>
        <v>0.16777239568782365</v>
      </c>
      <c r="D20" s="264">
        <f t="shared" ref="D20:U20" si="2">($C$18/D19)+(5/60)</f>
        <v>0.16806077048797802</v>
      </c>
      <c r="E20" s="264">
        <f t="shared" si="2"/>
        <v>0.16835112174317465</v>
      </c>
      <c r="F20" s="264">
        <f t="shared" si="2"/>
        <v>0.16864346984254222</v>
      </c>
      <c r="G20" s="264">
        <f t="shared" si="2"/>
        <v>0.168937835456623</v>
      </c>
      <c r="H20" s="264">
        <f t="shared" si="2"/>
        <v>0.16923423954224476</v>
      </c>
      <c r="I20" s="264">
        <f t="shared" si="2"/>
        <v>0.16953270334749443</v>
      </c>
      <c r="J20" s="264">
        <f t="shared" si="2"/>
        <v>0.16983324841679548</v>
      </c>
      <c r="K20" s="264">
        <f t="shared" si="2"/>
        <v>0.1701358965960923</v>
      </c>
      <c r="L20" s="264">
        <f t="shared" si="2"/>
        <v>0.17044067003814328</v>
      </c>
      <c r="M20" s="264">
        <f t="shared" si="2"/>
        <v>0.17074759120792632</v>
      </c>
      <c r="N20" s="264">
        <f t="shared" si="2"/>
        <v>0.17105668288815862</v>
      </c>
      <c r="O20" s="264">
        <f t="shared" si="2"/>
        <v>0.17136796818493436</v>
      </c>
      <c r="P20" s="264">
        <f t="shared" si="2"/>
        <v>0.17168147053348229</v>
      </c>
      <c r="Q20" s="264">
        <f t="shared" si="2"/>
        <v>0.17199721370404747</v>
      </c>
      <c r="R20" s="264">
        <f t="shared" si="2"/>
        <v>0.17231522180789902</v>
      </c>
      <c r="S20" s="264">
        <f t="shared" si="2"/>
        <v>0.17263551930346793</v>
      </c>
      <c r="T20" s="264">
        <f t="shared" si="2"/>
        <v>0.17295813100261781</v>
      </c>
      <c r="U20" s="264">
        <f t="shared" si="2"/>
        <v>0.17328308207705193</v>
      </c>
      <c r="V20" s="264">
        <f t="shared" ref="V20" si="3">($C$18/V19)+(5/60)</f>
        <v>0.17361039806486056</v>
      </c>
      <c r="W20" s="264">
        <f t="shared" ref="W20" si="4">($C$18/W19)+(5/60)</f>
        <v>0.17394010487721123</v>
      </c>
      <c r="X20" s="264">
        <f t="shared" ref="X20" si="5">($C$18/X19)+(5/60)</f>
        <v>0.17427222880518653</v>
      </c>
      <c r="Y20" s="264">
        <f t="shared" ref="Y20" si="6">($C$18/Y19)+(5/60)</f>
        <v>0.17460679652677269</v>
      </c>
      <c r="Z20" s="264">
        <f t="shared" ref="Z20" si="7">($C$18/Z19)+(5/60)</f>
        <v>0.17494383511400308</v>
      </c>
      <c r="AA20" s="264">
        <f t="shared" ref="AA20" si="8">($C$18/AA19)+(5/60)</f>
        <v>0.1752833720402604</v>
      </c>
    </row>
    <row r="21" spans="1:28" s="74" customFormat="1">
      <c r="A21" s="26" t="s">
        <v>130</v>
      </c>
      <c r="B21" s="26"/>
      <c r="C21" s="77">
        <f>'Price Assumptions'!$B$3</f>
        <v>13.91</v>
      </c>
    </row>
    <row r="22" spans="1:28" s="74" customFormat="1">
      <c r="A22" s="26" t="s">
        <v>109</v>
      </c>
      <c r="B22" s="26"/>
      <c r="C22" s="95">
        <f>C20*C21</f>
        <v>2.3337140240176271</v>
      </c>
    </row>
    <row r="23" spans="1:28" s="74" customFormat="1">
      <c r="A23" t="s">
        <v>465</v>
      </c>
      <c r="B23" s="82"/>
      <c r="C23" s="394">
        <f>4.75/2</f>
        <v>2.375</v>
      </c>
    </row>
    <row r="24" spans="1:28" s="74" customFormat="1">
      <c r="A24" s="26" t="s">
        <v>110</v>
      </c>
      <c r="B24" s="26"/>
      <c r="C24" s="91">
        <f>(C14*C18)+C23</f>
        <v>2.9782299999999999</v>
      </c>
    </row>
    <row r="25" spans="1:28" s="74" customFormat="1"/>
    <row r="26" spans="1:28" s="74" customFormat="1">
      <c r="A26" s="261" t="s">
        <v>542</v>
      </c>
      <c r="B26"/>
      <c r="C26"/>
    </row>
    <row r="27" spans="1:28" s="74" customFormat="1">
      <c r="A27" t="s">
        <v>210</v>
      </c>
      <c r="B27" s="26"/>
      <c r="C27" s="26">
        <v>6.5</v>
      </c>
    </row>
    <row r="28" spans="1:28" s="74" customFormat="1">
      <c r="A28" s="26" t="s">
        <v>106</v>
      </c>
      <c r="B28" s="26"/>
      <c r="C28" s="26">
        <f>C19</f>
        <v>21.198719527287729</v>
      </c>
      <c r="D28" s="26">
        <f t="shared" ref="D28:AA28" si="9">D19</f>
        <v>21.126568442438412</v>
      </c>
      <c r="E28" s="26">
        <f t="shared" si="9"/>
        <v>21.054417357589095</v>
      </c>
      <c r="F28" s="26">
        <f t="shared" si="9"/>
        <v>20.982266272739778</v>
      </c>
      <c r="G28" s="26">
        <f t="shared" si="9"/>
        <v>20.910115187890458</v>
      </c>
      <c r="H28" s="26">
        <f t="shared" si="9"/>
        <v>20.837964103041138</v>
      </c>
      <c r="I28" s="26">
        <f t="shared" si="9"/>
        <v>20.765813018191821</v>
      </c>
      <c r="J28" s="26">
        <f t="shared" si="9"/>
        <v>20.693661933342504</v>
      </c>
      <c r="K28" s="26">
        <f t="shared" si="9"/>
        <v>20.621510848493184</v>
      </c>
      <c r="L28" s="26">
        <f t="shared" si="9"/>
        <v>20.549359763643864</v>
      </c>
      <c r="M28" s="26">
        <f t="shared" si="9"/>
        <v>20.477208678794547</v>
      </c>
      <c r="N28" s="26">
        <f t="shared" si="9"/>
        <v>20.40505759394523</v>
      </c>
      <c r="O28" s="26">
        <f t="shared" si="9"/>
        <v>20.33290650909591</v>
      </c>
      <c r="P28" s="26">
        <f t="shared" si="9"/>
        <v>20.260755424246589</v>
      </c>
      <c r="Q28" s="26">
        <f t="shared" si="9"/>
        <v>20.188604339397273</v>
      </c>
      <c r="R28" s="26">
        <f t="shared" si="9"/>
        <v>20.116453254547956</v>
      </c>
      <c r="S28" s="26">
        <f t="shared" si="9"/>
        <v>20.044302169698636</v>
      </c>
      <c r="T28" s="26">
        <f t="shared" si="9"/>
        <v>19.972151084849315</v>
      </c>
      <c r="U28" s="26">
        <f t="shared" si="9"/>
        <v>19.899999999999999</v>
      </c>
      <c r="V28" s="26">
        <f t="shared" si="9"/>
        <v>19.827848915150682</v>
      </c>
      <c r="W28" s="26">
        <f t="shared" si="9"/>
        <v>19.755697830301365</v>
      </c>
      <c r="X28" s="26">
        <f t="shared" si="9"/>
        <v>19.683546745452048</v>
      </c>
      <c r="Y28" s="26">
        <f t="shared" si="9"/>
        <v>19.611395660602732</v>
      </c>
      <c r="Z28" s="26">
        <f t="shared" si="9"/>
        <v>19.539244575753415</v>
      </c>
      <c r="AA28" s="26">
        <f t="shared" si="9"/>
        <v>19.467093490904098</v>
      </c>
    </row>
    <row r="29" spans="1:28" s="74" customFormat="1">
      <c r="A29" t="s">
        <v>217</v>
      </c>
      <c r="B29" s="26"/>
      <c r="C29" s="264">
        <f>($C$27/C28)+(5/60)</f>
        <v>0.38995562679935958</v>
      </c>
      <c r="D29" s="264">
        <f t="shared" ref="D29:AA29" si="10">($C$27/D28)+(5/60)</f>
        <v>0.39100279786137265</v>
      </c>
      <c r="E29" s="264">
        <f t="shared" si="10"/>
        <v>0.39205714599476826</v>
      </c>
      <c r="F29" s="264">
        <f t="shared" si="10"/>
        <v>0.39311874523828177</v>
      </c>
      <c r="G29" s="264">
        <f t="shared" si="10"/>
        <v>0.39418767065254157</v>
      </c>
      <c r="H29" s="264">
        <f t="shared" si="10"/>
        <v>0.39526399833776032</v>
      </c>
      <c r="I29" s="264">
        <f t="shared" si="10"/>
        <v>0.39634780545179538</v>
      </c>
      <c r="J29" s="264">
        <f t="shared" si="10"/>
        <v>0.39743917022858699</v>
      </c>
      <c r="K29" s="264">
        <f t="shared" si="10"/>
        <v>0.39853817199698321</v>
      </c>
      <c r="L29" s="264">
        <f t="shared" si="10"/>
        <v>0.39964489119996166</v>
      </c>
      <c r="M29" s="264">
        <f t="shared" si="10"/>
        <v>0.40075940941425758</v>
      </c>
      <c r="N29" s="264">
        <f t="shared" si="10"/>
        <v>0.40188180937040846</v>
      </c>
      <c r="O29" s="264">
        <f t="shared" si="10"/>
        <v>0.40301217497322528</v>
      </c>
      <c r="P29" s="264">
        <f t="shared" si="10"/>
        <v>0.40415059132270104</v>
      </c>
      <c r="Q29" s="264">
        <f t="shared" si="10"/>
        <v>0.40529714473536788</v>
      </c>
      <c r="R29" s="264">
        <f t="shared" si="10"/>
        <v>0.40645192276611369</v>
      </c>
      <c r="S29" s="264">
        <f t="shared" si="10"/>
        <v>0.40761501423047014</v>
      </c>
      <c r="T29" s="264">
        <f t="shared" si="10"/>
        <v>0.40878650922738302</v>
      </c>
      <c r="U29" s="264">
        <f t="shared" si="10"/>
        <v>0.40996649916247907</v>
      </c>
      <c r="V29" s="264">
        <f t="shared" si="10"/>
        <v>0.41115507677183999</v>
      </c>
      <c r="W29" s="264">
        <f t="shared" si="10"/>
        <v>0.41235233614629774</v>
      </c>
      <c r="X29" s="264">
        <f t="shared" si="10"/>
        <v>0.41355837275626389</v>
      </c>
      <c r="Y29" s="264">
        <f t="shared" si="10"/>
        <v>0.41477328347710757</v>
      </c>
      <c r="Z29" s="264">
        <f t="shared" si="10"/>
        <v>0.415997166615095</v>
      </c>
      <c r="AA29" s="264">
        <f t="shared" si="10"/>
        <v>0.41723012193390652</v>
      </c>
    </row>
    <row r="30" spans="1:28" s="74" customFormat="1">
      <c r="A30" s="26" t="s">
        <v>130</v>
      </c>
      <c r="B30" s="26"/>
      <c r="C30" s="77">
        <f>'Price Assumptions'!$B$3</f>
        <v>13.91</v>
      </c>
    </row>
    <row r="31" spans="1:28" s="74" customFormat="1">
      <c r="A31" s="26" t="s">
        <v>109</v>
      </c>
      <c r="B31" s="26"/>
      <c r="C31" s="95">
        <f>C29*C30</f>
        <v>5.4242827687790918</v>
      </c>
    </row>
    <row r="32" spans="1:28" s="74" customFormat="1">
      <c r="A32" t="s">
        <v>465</v>
      </c>
      <c r="B32" s="82"/>
      <c r="C32" s="394">
        <v>6</v>
      </c>
    </row>
    <row r="33" spans="1:27" s="74" customFormat="1">
      <c r="A33" s="26" t="s">
        <v>110</v>
      </c>
      <c r="B33" s="26"/>
      <c r="C33" s="91">
        <f>($C$14*C27)+C32</f>
        <v>8.1905000000000001</v>
      </c>
    </row>
    <row r="34" spans="1:27" s="74" customFormat="1">
      <c r="A34" s="26"/>
      <c r="B34" s="26"/>
      <c r="C34" s="91"/>
    </row>
    <row r="35" spans="1:27" s="74" customFormat="1">
      <c r="A35" s="261" t="s">
        <v>543</v>
      </c>
      <c r="B35" s="26"/>
      <c r="C35" s="91"/>
    </row>
    <row r="36" spans="1:27" s="74" customFormat="1">
      <c r="A36" t="s">
        <v>210</v>
      </c>
      <c r="B36" s="26"/>
      <c r="C36" s="26">
        <v>25</v>
      </c>
    </row>
    <row r="37" spans="1:27" s="74" customFormat="1">
      <c r="A37" s="26" t="s">
        <v>106</v>
      </c>
      <c r="B37" s="26"/>
      <c r="C37" s="260">
        <v>40</v>
      </c>
      <c r="D37" s="260">
        <f>C37-$V$17</f>
        <v>39.927848915150683</v>
      </c>
      <c r="E37" s="260">
        <f t="shared" ref="E37:AA37" si="11">D37-$V$17</f>
        <v>39.855697830301366</v>
      </c>
      <c r="F37" s="260">
        <f t="shared" si="11"/>
        <v>39.78354674545205</v>
      </c>
      <c r="G37" s="260">
        <f t="shared" si="11"/>
        <v>39.711395660602733</v>
      </c>
      <c r="H37" s="260">
        <f t="shared" si="11"/>
        <v>39.639244575753416</v>
      </c>
      <c r="I37" s="260">
        <f t="shared" si="11"/>
        <v>39.567093490904099</v>
      </c>
      <c r="J37" s="260">
        <f t="shared" si="11"/>
        <v>39.494942406054783</v>
      </c>
      <c r="K37" s="260">
        <f t="shared" si="11"/>
        <v>39.422791321205466</v>
      </c>
      <c r="L37" s="260">
        <f t="shared" si="11"/>
        <v>39.350640236356149</v>
      </c>
      <c r="M37" s="260">
        <f t="shared" si="11"/>
        <v>39.278489151506832</v>
      </c>
      <c r="N37" s="260">
        <f t="shared" si="11"/>
        <v>39.206338066657516</v>
      </c>
      <c r="O37" s="260">
        <f t="shared" si="11"/>
        <v>39.134186981808199</v>
      </c>
      <c r="P37" s="260">
        <f t="shared" si="11"/>
        <v>39.062035896958882</v>
      </c>
      <c r="Q37" s="260">
        <f t="shared" si="11"/>
        <v>38.989884812109565</v>
      </c>
      <c r="R37" s="260">
        <f t="shared" si="11"/>
        <v>38.917733727260249</v>
      </c>
      <c r="S37" s="260">
        <f t="shared" si="11"/>
        <v>38.845582642410932</v>
      </c>
      <c r="T37" s="260">
        <f t="shared" si="11"/>
        <v>38.773431557561615</v>
      </c>
      <c r="U37" s="260">
        <f t="shared" si="11"/>
        <v>38.701280472712298</v>
      </c>
      <c r="V37" s="260">
        <f t="shared" si="11"/>
        <v>38.629129387862982</v>
      </c>
      <c r="W37" s="260">
        <f t="shared" si="11"/>
        <v>38.556978303013665</v>
      </c>
      <c r="X37" s="260">
        <f t="shared" si="11"/>
        <v>38.484827218164348</v>
      </c>
      <c r="Y37" s="260">
        <f t="shared" si="11"/>
        <v>38.412676133315031</v>
      </c>
      <c r="Z37" s="260">
        <f t="shared" si="11"/>
        <v>38.340525048465715</v>
      </c>
      <c r="AA37" s="260">
        <f t="shared" si="11"/>
        <v>38.268373963616398</v>
      </c>
    </row>
    <row r="38" spans="1:27" s="74" customFormat="1">
      <c r="A38" t="s">
        <v>217</v>
      </c>
      <c r="B38" s="26"/>
      <c r="C38" s="264">
        <f>($C$36/C37)+(5/60)</f>
        <v>0.70833333333333337</v>
      </c>
      <c r="D38" s="264">
        <f t="shared" ref="D38:AA38" si="12">($C$36/D37)+(5/60)</f>
        <v>0.70946273121616577</v>
      </c>
      <c r="E38" s="264">
        <f t="shared" si="12"/>
        <v>0.71059621821482899</v>
      </c>
      <c r="F38" s="264">
        <f t="shared" si="12"/>
        <v>0.71173381657727475</v>
      </c>
      <c r="G38" s="264">
        <f t="shared" si="12"/>
        <v>0.71287554871314296</v>
      </c>
      <c r="H38" s="264">
        <f t="shared" si="12"/>
        <v>0.7140214371952327</v>
      </c>
      <c r="I38" s="264">
        <f t="shared" si="12"/>
        <v>0.71517150476099045</v>
      </c>
      <c r="J38" s="264">
        <f t="shared" si="12"/>
        <v>0.71632577431401367</v>
      </c>
      <c r="K38" s="264">
        <f t="shared" si="12"/>
        <v>0.71748426892557116</v>
      </c>
      <c r="L38" s="264">
        <f t="shared" si="12"/>
        <v>0.71864701183614055</v>
      </c>
      <c r="M38" s="264">
        <f t="shared" si="12"/>
        <v>0.71981402645696213</v>
      </c>
      <c r="N38" s="264">
        <f t="shared" si="12"/>
        <v>0.72098533637161</v>
      </c>
      <c r="O38" s="264">
        <f t="shared" si="12"/>
        <v>0.72216096533758134</v>
      </c>
      <c r="P38" s="264">
        <f t="shared" si="12"/>
        <v>0.72334093728790194</v>
      </c>
      <c r="Q38" s="264">
        <f t="shared" si="12"/>
        <v>0.72452527633275055</v>
      </c>
      <c r="R38" s="264">
        <f t="shared" si="12"/>
        <v>0.72571400676110143</v>
      </c>
      <c r="S38" s="264">
        <f t="shared" si="12"/>
        <v>0.72690715304238396</v>
      </c>
      <c r="T38" s="264">
        <f t="shared" si="12"/>
        <v>0.72810473982816259</v>
      </c>
      <c r="U38" s="264">
        <f t="shared" si="12"/>
        <v>0.72930679195383386</v>
      </c>
      <c r="V38" s="264">
        <f t="shared" si="12"/>
        <v>0.7305133344403435</v>
      </c>
      <c r="W38" s="264">
        <f t="shared" si="12"/>
        <v>0.73172439249592258</v>
      </c>
      <c r="X38" s="264">
        <f t="shared" si="12"/>
        <v>0.73293999151784295</v>
      </c>
      <c r="Y38" s="264">
        <f t="shared" si="12"/>
        <v>0.73416015709419302</v>
      </c>
      <c r="Z38" s="264">
        <f t="shared" si="12"/>
        <v>0.73538491500567238</v>
      </c>
      <c r="AA38" s="264">
        <f t="shared" si="12"/>
        <v>0.7366142912274084</v>
      </c>
    </row>
    <row r="39" spans="1:27" s="74" customFormat="1">
      <c r="A39" s="26" t="s">
        <v>130</v>
      </c>
      <c r="B39" s="26"/>
      <c r="C39" s="77">
        <f>'Price Assumptions'!$B$3</f>
        <v>13.91</v>
      </c>
    </row>
    <row r="40" spans="1:27" s="74" customFormat="1">
      <c r="A40" s="26" t="s">
        <v>109</v>
      </c>
      <c r="B40" s="26"/>
      <c r="C40" s="95">
        <f>C38*C39</f>
        <v>9.8529166666666672</v>
      </c>
    </row>
    <row r="41" spans="1:27" s="74" customFormat="1">
      <c r="A41" t="s">
        <v>465</v>
      </c>
      <c r="B41" s="82"/>
      <c r="C41" s="394">
        <f>C32</f>
        <v>6</v>
      </c>
    </row>
    <row r="42" spans="1:27" s="74" customFormat="1">
      <c r="A42" s="26" t="s">
        <v>110</v>
      </c>
      <c r="B42" s="26"/>
      <c r="C42" s="91">
        <f>($C$14*C36)+C41</f>
        <v>14.425000000000001</v>
      </c>
    </row>
    <row r="43" spans="1:27" s="74" customFormat="1">
      <c r="A43" s="261"/>
      <c r="B43" s="26"/>
      <c r="C43" s="91"/>
    </row>
    <row r="44" spans="1:27" s="74" customFormat="1">
      <c r="A44" s="276" t="s">
        <v>563</v>
      </c>
      <c r="B44" s="200" t="s">
        <v>565</v>
      </c>
      <c r="D44" s="79"/>
    </row>
    <row r="45" spans="1:27" s="74" customFormat="1">
      <c r="A45" s="276" t="s">
        <v>564</v>
      </c>
      <c r="B45" s="131">
        <v>2.5000000000000001E-2</v>
      </c>
      <c r="C45" s="343">
        <f>C$14*B45</f>
        <v>8.4250000000000002E-3</v>
      </c>
      <c r="D45" s="79"/>
    </row>
    <row r="46" spans="1:27" s="74" customFormat="1">
      <c r="A46" s="276"/>
      <c r="B46" s="131">
        <f>3300/5280</f>
        <v>0.625</v>
      </c>
      <c r="C46" s="343">
        <f>C$14*B46</f>
        <v>0.21062500000000001</v>
      </c>
      <c r="D46" s="79"/>
    </row>
    <row r="47" spans="1:27" s="74" customFormat="1">
      <c r="A47" s="276"/>
      <c r="B47" s="131"/>
      <c r="D47" s="79"/>
    </row>
    <row r="48" spans="1:27" s="74" customFormat="1">
      <c r="A48" s="200"/>
      <c r="B48" s="131"/>
      <c r="D48" s="79"/>
    </row>
    <row r="49" spans="1:4" s="74" customFormat="1">
      <c r="A49" s="342" t="s">
        <v>112</v>
      </c>
      <c r="B49" s="80"/>
      <c r="C49" s="80"/>
      <c r="D49" s="79"/>
    </row>
    <row r="50" spans="1:4" s="74" customFormat="1">
      <c r="A50" s="26" t="s">
        <v>188</v>
      </c>
      <c r="B50" s="26"/>
      <c r="C50" s="26">
        <v>0.75</v>
      </c>
      <c r="D50" s="256"/>
    </row>
    <row r="51" spans="1:4" s="74" customFormat="1">
      <c r="A51" s="26" t="s">
        <v>103</v>
      </c>
      <c r="B51" s="26"/>
      <c r="C51" s="26">
        <v>3.2</v>
      </c>
      <c r="D51" s="25"/>
    </row>
    <row r="52" spans="1:4" s="74" customFormat="1">
      <c r="A52" t="s">
        <v>105</v>
      </c>
      <c r="B52"/>
      <c r="C52" s="265">
        <f>C50/C51</f>
        <v>0.234375</v>
      </c>
      <c r="D52" s="256"/>
    </row>
    <row r="53" spans="1:4" s="74" customFormat="1">
      <c r="A53" s="26" t="s">
        <v>129</v>
      </c>
      <c r="B53" s="26"/>
      <c r="C53" s="95">
        <f>'Price Assumptions'!$B$6</f>
        <v>13.91</v>
      </c>
      <c r="D53" s="25"/>
    </row>
    <row r="54" spans="1:4" s="74" customFormat="1">
      <c r="A54" s="276" t="s">
        <v>475</v>
      </c>
      <c r="B54" s="131"/>
      <c r="C54" s="95">
        <v>0.05</v>
      </c>
      <c r="D54" s="256"/>
    </row>
    <row r="55" spans="1:4" s="74" customFormat="1">
      <c r="A55" s="276"/>
      <c r="B55" s="131"/>
      <c r="C55" s="95"/>
      <c r="D55" s="256"/>
    </row>
    <row r="56" spans="1:4" s="74" customFormat="1">
      <c r="A56" s="342" t="s">
        <v>450</v>
      </c>
      <c r="B56" s="131"/>
      <c r="D56" s="256"/>
    </row>
    <row r="57" spans="1:4" s="74" customFormat="1">
      <c r="A57" s="26" t="s">
        <v>188</v>
      </c>
      <c r="B57" s="26"/>
      <c r="C57" s="26">
        <v>1.67</v>
      </c>
      <c r="D57" s="256"/>
    </row>
    <row r="58" spans="1:4" s="74" customFormat="1">
      <c r="A58" s="26" t="s">
        <v>493</v>
      </c>
      <c r="B58" s="26"/>
      <c r="C58" s="26">
        <v>12.5</v>
      </c>
      <c r="D58" s="256"/>
    </row>
    <row r="59" spans="1:4" s="74" customFormat="1">
      <c r="A59" s="26" t="s">
        <v>84</v>
      </c>
      <c r="B59"/>
      <c r="C59" s="265">
        <f>C57/C58</f>
        <v>0.1336</v>
      </c>
      <c r="D59" s="79"/>
    </row>
    <row r="60" spans="1:4" s="74" customFormat="1">
      <c r="A60" s="26" t="s">
        <v>129</v>
      </c>
      <c r="B60" s="26"/>
      <c r="C60" s="95">
        <f>'Price Assumptions'!$B$6</f>
        <v>13.91</v>
      </c>
      <c r="D60" s="79"/>
    </row>
    <row r="61" spans="1:4" s="74" customFormat="1">
      <c r="A61" s="276" t="s">
        <v>475</v>
      </c>
      <c r="B61" s="131"/>
      <c r="C61" s="95">
        <v>0.1</v>
      </c>
      <c r="D61" s="256"/>
    </row>
    <row r="62" spans="1:4" s="74" customFormat="1">
      <c r="B62" s="131"/>
      <c r="D62" s="79"/>
    </row>
    <row r="63" spans="1:4" s="74" customFormat="1">
      <c r="A63" s="125" t="s">
        <v>451</v>
      </c>
      <c r="B63" s="131"/>
      <c r="D63" s="79"/>
    </row>
    <row r="64" spans="1:4" s="74" customFormat="1">
      <c r="A64" s="262" t="s">
        <v>466</v>
      </c>
      <c r="B64"/>
      <c r="C64"/>
      <c r="D64" s="79"/>
    </row>
    <row r="65" spans="1:27" s="74" customFormat="1">
      <c r="A65" s="26" t="s">
        <v>153</v>
      </c>
      <c r="B65" s="26"/>
      <c r="C65" s="77">
        <f>'Price Assumptions'!$B$4</f>
        <v>13.91</v>
      </c>
      <c r="D65" s="79"/>
    </row>
    <row r="66" spans="1:27" s="74" customFormat="1">
      <c r="A66" s="26" t="s">
        <v>502</v>
      </c>
      <c r="B66" s="26"/>
      <c r="C66" s="260">
        <f>($C$27/C28)+(15/60)</f>
        <v>0.55662229346602632</v>
      </c>
      <c r="D66" s="264">
        <f t="shared" ref="D66:AA66" si="13">($C$27/D28)+(15/60)</f>
        <v>0.55766946452803934</v>
      </c>
      <c r="E66" s="264">
        <f t="shared" si="13"/>
        <v>0.55872381266143489</v>
      </c>
      <c r="F66" s="264">
        <f t="shared" si="13"/>
        <v>0.55978541190494846</v>
      </c>
      <c r="G66" s="264">
        <f t="shared" si="13"/>
        <v>0.56085433731920831</v>
      </c>
      <c r="H66" s="264">
        <f t="shared" si="13"/>
        <v>0.56193066500442701</v>
      </c>
      <c r="I66" s="264">
        <f t="shared" si="13"/>
        <v>0.56301447211846201</v>
      </c>
      <c r="J66" s="264">
        <f t="shared" si="13"/>
        <v>0.56410583689525362</v>
      </c>
      <c r="K66" s="264">
        <f t="shared" si="13"/>
        <v>0.5652048386636499</v>
      </c>
      <c r="L66" s="264">
        <f t="shared" si="13"/>
        <v>0.56631155786662835</v>
      </c>
      <c r="M66" s="264">
        <f t="shared" si="13"/>
        <v>0.56742607608092421</v>
      </c>
      <c r="N66" s="264">
        <f t="shared" si="13"/>
        <v>0.56854847603707515</v>
      </c>
      <c r="O66" s="264">
        <f t="shared" si="13"/>
        <v>0.56967884163989191</v>
      </c>
      <c r="P66" s="264">
        <f t="shared" si="13"/>
        <v>0.57081725798936778</v>
      </c>
      <c r="Q66" s="264">
        <f t="shared" si="13"/>
        <v>0.57196381140203456</v>
      </c>
      <c r="R66" s="264">
        <f t="shared" si="13"/>
        <v>0.57311858943278038</v>
      </c>
      <c r="S66" s="264">
        <f t="shared" si="13"/>
        <v>0.57428168089713683</v>
      </c>
      <c r="T66" s="264">
        <f t="shared" si="13"/>
        <v>0.57545317589404976</v>
      </c>
      <c r="U66" s="264">
        <f t="shared" si="13"/>
        <v>0.5766331658291457</v>
      </c>
      <c r="V66" s="264">
        <f t="shared" si="13"/>
        <v>0.57782174343850667</v>
      </c>
      <c r="W66" s="264">
        <f t="shared" si="13"/>
        <v>0.57901900281296448</v>
      </c>
      <c r="X66" s="264">
        <f t="shared" si="13"/>
        <v>0.58022503942293058</v>
      </c>
      <c r="Y66" s="264">
        <f t="shared" si="13"/>
        <v>0.58143995014377425</v>
      </c>
      <c r="Z66" s="264">
        <f t="shared" si="13"/>
        <v>0.58266383328176174</v>
      </c>
      <c r="AA66" s="264">
        <f t="shared" si="13"/>
        <v>0.58389678860057326</v>
      </c>
    </row>
    <row r="67" spans="1:27" s="74" customFormat="1">
      <c r="A67" s="26" t="s">
        <v>467</v>
      </c>
      <c r="B67"/>
      <c r="C67" s="95">
        <f>2.72*2</f>
        <v>5.44</v>
      </c>
      <c r="D67" s="79"/>
    </row>
    <row r="68" spans="1:27" s="74" customFormat="1">
      <c r="A68" s="26" t="s">
        <v>109</v>
      </c>
      <c r="B68" s="131"/>
      <c r="C68" s="271">
        <f>C66*C65</f>
        <v>7.742616102112426</v>
      </c>
      <c r="D68" s="79"/>
    </row>
    <row r="69" spans="1:27" s="74" customFormat="1">
      <c r="A69" s="26" t="s">
        <v>110</v>
      </c>
      <c r="B69" s="131"/>
      <c r="C69" s="271">
        <f>C67</f>
        <v>5.44</v>
      </c>
      <c r="D69" s="79"/>
    </row>
    <row r="70" spans="1:27" s="74" customFormat="1">
      <c r="A70" s="262" t="s">
        <v>492</v>
      </c>
      <c r="D70" s="79"/>
    </row>
    <row r="71" spans="1:27" s="74" customFormat="1">
      <c r="A71" s="26" t="s">
        <v>188</v>
      </c>
      <c r="B71" s="26"/>
      <c r="C71" s="26">
        <v>1</v>
      </c>
      <c r="D71" s="79"/>
    </row>
    <row r="72" spans="1:27" s="74" customFormat="1">
      <c r="A72" s="26" t="s">
        <v>494</v>
      </c>
      <c r="B72" s="26"/>
      <c r="C72" s="26">
        <v>5</v>
      </c>
      <c r="D72" s="79"/>
    </row>
    <row r="73" spans="1:27" s="74" customFormat="1">
      <c r="A73" s="26" t="s">
        <v>495</v>
      </c>
      <c r="B73"/>
      <c r="C73" s="265">
        <f>C71/C72</f>
        <v>0.2</v>
      </c>
      <c r="D73" s="79"/>
    </row>
    <row r="74" spans="1:27" s="74" customFormat="1">
      <c r="A74" s="26" t="s">
        <v>129</v>
      </c>
      <c r="B74" s="26"/>
      <c r="C74" s="95">
        <f>13.91*2</f>
        <v>27.82</v>
      </c>
      <c r="D74" s="79"/>
    </row>
    <row r="75" spans="1:27" s="74" customFormat="1">
      <c r="A75" s="276" t="s">
        <v>475</v>
      </c>
      <c r="B75" s="131"/>
      <c r="C75" s="278">
        <v>0.3</v>
      </c>
      <c r="D75" s="79"/>
    </row>
    <row r="76" spans="1:27" s="74" customFormat="1">
      <c r="A76" s="276" t="s">
        <v>501</v>
      </c>
      <c r="C76" s="95">
        <v>1.3</v>
      </c>
      <c r="D76" s="79"/>
    </row>
    <row r="77" spans="1:27" s="74" customFormat="1">
      <c r="B77" s="131"/>
      <c r="D77" s="79"/>
    </row>
    <row r="78" spans="1:27" s="74" customFormat="1">
      <c r="B78" s="131"/>
      <c r="D78" s="79"/>
    </row>
    <row r="79" spans="1:27" s="74" customFormat="1">
      <c r="A79" s="200" t="s">
        <v>452</v>
      </c>
      <c r="B79" s="131"/>
      <c r="D79" s="79"/>
    </row>
    <row r="80" spans="1:27" s="79" customFormat="1">
      <c r="A80" s="80" t="s">
        <v>206</v>
      </c>
    </row>
    <row r="81" spans="1:3" s="79" customFormat="1">
      <c r="A81" s="84" t="s">
        <v>453</v>
      </c>
      <c r="C81" s="34">
        <v>10</v>
      </c>
    </row>
    <row r="82" spans="1:3">
      <c r="A82" s="84" t="s">
        <v>198</v>
      </c>
      <c r="B82" s="34"/>
      <c r="C82" s="34">
        <v>100</v>
      </c>
    </row>
    <row r="83" spans="1:3">
      <c r="A83" t="s">
        <v>108</v>
      </c>
      <c r="C83">
        <v>2.5</v>
      </c>
    </row>
    <row r="84" spans="1:3" s="25" customFormat="1">
      <c r="A84" s="25" t="s">
        <v>59</v>
      </c>
      <c r="B84" s="101">
        <f>AVERAGE(C84:C84)</f>
        <v>250</v>
      </c>
      <c r="C84" s="101">
        <f>(C82*C83)</f>
        <v>250</v>
      </c>
    </row>
    <row r="85" spans="1:3" s="25" customFormat="1">
      <c r="A85" s="25" t="s">
        <v>85</v>
      </c>
      <c r="B85" s="253"/>
      <c r="C85" s="101">
        <f>(C84*2)</f>
        <v>500</v>
      </c>
    </row>
    <row r="86" spans="1:3" s="25" customFormat="1">
      <c r="A86" s="25" t="s">
        <v>89</v>
      </c>
      <c r="C86" s="277">
        <v>1.79</v>
      </c>
    </row>
    <row r="87" spans="1:3" s="25" customFormat="1">
      <c r="A87" s="225" t="s">
        <v>86</v>
      </c>
      <c r="B87" s="225"/>
      <c r="C87" s="259">
        <f>(C85*C86)</f>
        <v>895</v>
      </c>
    </row>
    <row r="88" spans="1:3" s="25" customFormat="1"/>
    <row r="89" spans="1:3" s="25" customFormat="1">
      <c r="A89" s="25" t="s">
        <v>80</v>
      </c>
      <c r="C89" s="101">
        <f>C82*10</f>
        <v>1000</v>
      </c>
    </row>
    <row r="90" spans="1:3" s="25" customFormat="1">
      <c r="A90" s="25" t="s">
        <v>220</v>
      </c>
      <c r="C90" s="101">
        <f>C82/C92</f>
        <v>2857.1428571428569</v>
      </c>
    </row>
    <row r="91" spans="1:3" s="25" customFormat="1">
      <c r="A91" s="25" t="s">
        <v>83</v>
      </c>
      <c r="C91" s="101">
        <f>C84*365</f>
        <v>91250</v>
      </c>
    </row>
    <row r="92" spans="1:3" s="25" customFormat="1">
      <c r="A92" s="25" t="s">
        <v>207</v>
      </c>
      <c r="C92" s="254">
        <v>3.5000000000000003E-2</v>
      </c>
    </row>
    <row r="93" spans="1:3" s="25" customFormat="1">
      <c r="A93" s="25" t="s">
        <v>77</v>
      </c>
      <c r="C93" s="25">
        <v>80</v>
      </c>
    </row>
    <row r="94" spans="1:3" s="25" customFormat="1">
      <c r="A94" s="25" t="s">
        <v>78</v>
      </c>
      <c r="C94" s="25">
        <v>5</v>
      </c>
    </row>
    <row r="95" spans="1:3" s="25" customFormat="1">
      <c r="A95" s="225" t="s">
        <v>90</v>
      </c>
      <c r="B95" s="225"/>
      <c r="C95" s="258">
        <f>(((C93/365)*C84)+(C84*C92*C94))/C87</f>
        <v>0.11010560955077678</v>
      </c>
    </row>
    <row r="96" spans="1:3" s="25" customFormat="1"/>
    <row r="97" spans="1:6" s="25" customFormat="1">
      <c r="A97" s="25" t="s">
        <v>79</v>
      </c>
      <c r="B97" s="255">
        <v>50000</v>
      </c>
      <c r="C97" s="255">
        <f>50000*10</f>
        <v>500000</v>
      </c>
    </row>
    <row r="98" spans="1:6" s="25" customFormat="1">
      <c r="A98" s="256" t="s">
        <v>460</v>
      </c>
      <c r="C98" s="255">
        <f>0.3*C91</f>
        <v>27375</v>
      </c>
    </row>
    <row r="99" spans="1:6" s="25" customFormat="1"/>
    <row r="100" spans="1:6" s="25" customFormat="1">
      <c r="C100" s="255"/>
    </row>
    <row r="101" spans="1:6" s="25" customFormat="1">
      <c r="A101" s="25" t="s">
        <v>104</v>
      </c>
      <c r="C101" s="25">
        <v>10</v>
      </c>
    </row>
    <row r="102" spans="1:6" s="25" customFormat="1">
      <c r="A102" s="25" t="s">
        <v>84</v>
      </c>
      <c r="C102" s="25">
        <f>C86/C101</f>
        <v>0.17899999999999999</v>
      </c>
    </row>
    <row r="103" spans="1:6" s="25" customFormat="1">
      <c r="A103" s="256" t="s">
        <v>129</v>
      </c>
      <c r="B103" s="256"/>
      <c r="C103" s="136">
        <v>13.91</v>
      </c>
    </row>
    <row r="104" spans="1:6" s="256" customFormat="1">
      <c r="A104" s="256" t="s">
        <v>133</v>
      </c>
      <c r="C104" s="257">
        <f>C103*C102</f>
        <v>2.4898899999999999</v>
      </c>
      <c r="E104" s="257"/>
      <c r="F104" s="257"/>
    </row>
    <row r="105" spans="1:6" s="25" customFormat="1"/>
    <row r="106" spans="1:6" s="26" customFormat="1">
      <c r="A106" s="26" t="s">
        <v>146</v>
      </c>
      <c r="C106" s="99">
        <v>7.7499999999999999E-2</v>
      </c>
    </row>
    <row r="107" spans="1:6" s="26" customFormat="1">
      <c r="A107" s="26" t="s">
        <v>147</v>
      </c>
      <c r="C107" s="99">
        <v>0.5</v>
      </c>
    </row>
    <row r="108" spans="1:6" s="26" customFormat="1">
      <c r="A108" s="26" t="s">
        <v>171</v>
      </c>
      <c r="C108" s="99">
        <v>0.28000000000000003</v>
      </c>
    </row>
    <row r="109" spans="1:6" s="26" customFormat="1">
      <c r="A109" s="26" t="s">
        <v>172</v>
      </c>
      <c r="C109" s="99">
        <v>0.59</v>
      </c>
    </row>
    <row r="110" spans="1:6" s="26" customFormat="1">
      <c r="A110" s="26" t="s">
        <v>92</v>
      </c>
      <c r="C110" s="99">
        <v>8.2600000000000007E-2</v>
      </c>
    </row>
    <row r="111" spans="1:6" s="26" customFormat="1">
      <c r="A111" s="26" t="s">
        <v>177</v>
      </c>
      <c r="C111" s="99">
        <v>0.5</v>
      </c>
    </row>
    <row r="112" spans="1:6" s="26" customFormat="1">
      <c r="A112" s="26" t="s">
        <v>178</v>
      </c>
      <c r="C112" s="65">
        <v>6.5</v>
      </c>
    </row>
    <row r="113" spans="1:3" s="26" customFormat="1">
      <c r="A113" s="26" t="s">
        <v>101</v>
      </c>
      <c r="C113" s="99">
        <v>8.3333333333333329E-2</v>
      </c>
    </row>
    <row r="114" spans="1:3" s="26" customFormat="1">
      <c r="A114" s="26" t="s">
        <v>102</v>
      </c>
      <c r="C114" s="99">
        <v>0.26</v>
      </c>
    </row>
    <row r="115" spans="1:3" s="26" customFormat="1">
      <c r="A115" s="26" t="s">
        <v>143</v>
      </c>
      <c r="C115" s="99">
        <v>2.5000000000000001E-2</v>
      </c>
    </row>
    <row r="116" spans="1:3" s="26" customFormat="1">
      <c r="A116" s="26" t="s">
        <v>144</v>
      </c>
      <c r="C116" s="99">
        <v>0.05</v>
      </c>
    </row>
    <row r="117" spans="1:3" s="26" customFormat="1">
      <c r="A117" s="26" t="s">
        <v>145</v>
      </c>
      <c r="C117" s="65">
        <v>153.75</v>
      </c>
    </row>
    <row r="118" spans="1:3" s="26" customFormat="1">
      <c r="A118" s="26" t="s">
        <v>93</v>
      </c>
      <c r="C118" s="26">
        <v>500</v>
      </c>
    </row>
    <row r="119" spans="1:3" s="26" customFormat="1">
      <c r="A119" s="132" t="s">
        <v>219</v>
      </c>
      <c r="C119" s="134">
        <v>0.6</v>
      </c>
    </row>
    <row r="120" spans="1:3" s="25" customFormat="1">
      <c r="A120" s="135" t="s">
        <v>208</v>
      </c>
      <c r="C120" s="134">
        <v>0.3</v>
      </c>
    </row>
    <row r="121" spans="1:3">
      <c r="A121" s="132" t="s">
        <v>209</v>
      </c>
      <c r="C121" s="134">
        <v>0.4</v>
      </c>
    </row>
    <row r="122" spans="1:3">
      <c r="A122" s="135" t="s">
        <v>208</v>
      </c>
      <c r="C122" s="134">
        <v>0.3</v>
      </c>
    </row>
    <row r="125" spans="1:3">
      <c r="A125" t="s">
        <v>173</v>
      </c>
    </row>
    <row r="126" spans="1:3">
      <c r="A126" t="s">
        <v>174</v>
      </c>
    </row>
    <row r="127" spans="1:3">
      <c r="A127" t="s">
        <v>175</v>
      </c>
    </row>
    <row r="128" spans="1:3">
      <c r="A128" t="s">
        <v>176</v>
      </c>
    </row>
    <row r="131" spans="1:8">
      <c r="A131" s="26"/>
    </row>
    <row r="132" spans="1:8">
      <c r="A132" s="3" t="s">
        <v>113</v>
      </c>
      <c r="B132" s="3"/>
      <c r="C132" s="3"/>
    </row>
    <row r="133" spans="1:8">
      <c r="A133" s="84"/>
      <c r="B133" s="84"/>
      <c r="C133" s="84"/>
      <c r="G133" s="25"/>
    </row>
    <row r="134" spans="1:8">
      <c r="A134" s="84" t="s">
        <v>169</v>
      </c>
      <c r="B134" s="103"/>
      <c r="C134" s="103">
        <v>0.55204917140780141</v>
      </c>
      <c r="G134" s="256" t="s">
        <v>140</v>
      </c>
    </row>
    <row r="135" spans="1:8">
      <c r="A135" s="3"/>
      <c r="B135" s="3"/>
      <c r="C135" s="3"/>
      <c r="G135" s="25"/>
    </row>
    <row r="136" spans="1:8">
      <c r="A136" s="84" t="s">
        <v>136</v>
      </c>
      <c r="B136" s="84"/>
      <c r="C136" s="26">
        <f>(130750000+182292142)/(130750000+182292142+274767272)</f>
        <v>0.53255721079689955</v>
      </c>
      <c r="G136" s="272" t="s">
        <v>190</v>
      </c>
    </row>
    <row r="137" spans="1:8">
      <c r="A137" s="84" t="s">
        <v>137</v>
      </c>
      <c r="B137" s="84"/>
      <c r="C137" s="26">
        <f>274767272/(130750000+182292142+274767272)</f>
        <v>0.46744278920310045</v>
      </c>
      <c r="G137" s="272" t="s">
        <v>190</v>
      </c>
    </row>
    <row r="138" spans="1:8">
      <c r="A138" s="84" t="s">
        <v>138</v>
      </c>
      <c r="B138" s="84"/>
      <c r="C138" s="26">
        <v>33</v>
      </c>
      <c r="G138" s="256" t="s">
        <v>191</v>
      </c>
    </row>
    <row r="139" spans="1:8">
      <c r="A139" s="84" t="s">
        <v>139</v>
      </c>
      <c r="B139" s="84"/>
      <c r="C139" s="26">
        <v>12</v>
      </c>
      <c r="G139" s="256" t="s">
        <v>192</v>
      </c>
    </row>
    <row r="140" spans="1:8">
      <c r="A140" s="84"/>
      <c r="B140" s="84"/>
      <c r="C140" s="26"/>
      <c r="G140" s="256"/>
    </row>
    <row r="141" spans="1:8">
      <c r="A141" s="3" t="s">
        <v>454</v>
      </c>
      <c r="B141" s="3"/>
      <c r="C141" s="3"/>
      <c r="G141" s="256"/>
    </row>
    <row r="142" spans="1:8">
      <c r="A142" s="26" t="s">
        <v>154</v>
      </c>
      <c r="B142" s="26"/>
      <c r="C142" s="26">
        <v>1.5</v>
      </c>
      <c r="G142" s="256" t="s">
        <v>189</v>
      </c>
    </row>
    <row r="143" spans="1:8">
      <c r="A143" s="26" t="s">
        <v>139</v>
      </c>
      <c r="B143" s="26"/>
      <c r="C143" s="26">
        <v>12.1</v>
      </c>
      <c r="G143" s="256"/>
      <c r="H143" s="25"/>
    </row>
    <row r="144" spans="1:8">
      <c r="A144" t="s">
        <v>216</v>
      </c>
      <c r="B144" s="26"/>
      <c r="C144">
        <f>(C142/C143)+(5/60)</f>
        <v>0.20730027548209368</v>
      </c>
      <c r="G144" s="25"/>
      <c r="H144" s="25"/>
    </row>
    <row r="145" spans="1:8">
      <c r="A145" s="26" t="s">
        <v>129</v>
      </c>
      <c r="B145" s="26"/>
      <c r="C145" s="95">
        <f>'Price Assumptions'!$B$5</f>
        <v>13.91</v>
      </c>
      <c r="G145" s="25"/>
      <c r="H145" s="25"/>
    </row>
    <row r="146" spans="1:8">
      <c r="A146" s="26" t="s">
        <v>109</v>
      </c>
      <c r="B146" s="26"/>
      <c r="C146" s="95">
        <f>C144*C145</f>
        <v>2.8835468319559232</v>
      </c>
      <c r="G146" s="25"/>
      <c r="H146" s="25"/>
    </row>
    <row r="147" spans="1:8">
      <c r="A147" s="26" t="s">
        <v>110</v>
      </c>
      <c r="B147" s="26"/>
      <c r="C147" s="15">
        <v>1.3960275535459208</v>
      </c>
      <c r="G147" s="25"/>
      <c r="H147" s="25"/>
    </row>
    <row r="148" spans="1:8">
      <c r="A148" s="26"/>
      <c r="B148" s="26"/>
      <c r="C148" s="82"/>
      <c r="G148" s="25"/>
      <c r="H148" s="25"/>
    </row>
    <row r="149" spans="1:8">
      <c r="A149" s="3" t="s">
        <v>455</v>
      </c>
      <c r="G149" s="25"/>
      <c r="H149" s="25"/>
    </row>
    <row r="150" spans="1:8">
      <c r="A150" t="s">
        <v>135</v>
      </c>
      <c r="B150" s="26"/>
      <c r="C150" s="26">
        <v>6.5</v>
      </c>
      <c r="G150" s="256"/>
      <c r="H150" s="25"/>
    </row>
    <row r="151" spans="1:8">
      <c r="A151" s="26" t="s">
        <v>107</v>
      </c>
      <c r="B151" s="26"/>
      <c r="C151" s="26">
        <f>(C138*C137)+(C139*C136)</f>
        <v>21.816298573265108</v>
      </c>
      <c r="G151" s="25"/>
      <c r="H151" s="25"/>
    </row>
    <row r="152" spans="1:8">
      <c r="A152" t="s">
        <v>216</v>
      </c>
      <c r="B152" s="26"/>
      <c r="C152">
        <f>(C150/C151)+(5/60)</f>
        <v>0.38127571701364549</v>
      </c>
    </row>
    <row r="153" spans="1:8">
      <c r="A153" s="26" t="s">
        <v>129</v>
      </c>
      <c r="B153" s="26"/>
      <c r="C153" s="95">
        <f>'Price Assumptions'!$B$5</f>
        <v>13.91</v>
      </c>
    </row>
    <row r="154" spans="1:8">
      <c r="A154" s="26" t="s">
        <v>109</v>
      </c>
      <c r="B154" s="26"/>
      <c r="C154" s="95">
        <f>C152*C153</f>
        <v>5.3035452236598086</v>
      </c>
    </row>
    <row r="155" spans="1:8">
      <c r="A155" s="26" t="s">
        <v>110</v>
      </c>
      <c r="B155" s="26"/>
      <c r="C155" s="15">
        <v>2.107407271835358</v>
      </c>
    </row>
    <row r="156" spans="1:8">
      <c r="A156" t="s">
        <v>161</v>
      </c>
      <c r="C156" s="95">
        <f>'Price Assumptions'!$B$7</f>
        <v>26.211180124223603</v>
      </c>
    </row>
    <row r="157" spans="1:8">
      <c r="A157" t="s">
        <v>162</v>
      </c>
      <c r="C157">
        <v>8</v>
      </c>
    </row>
    <row r="158" spans="1:8">
      <c r="A158" t="s">
        <v>170</v>
      </c>
      <c r="C158" s="95">
        <f>'Price Assumptions'!$B$3</f>
        <v>13.91</v>
      </c>
    </row>
    <row r="160" spans="1:8">
      <c r="A160" s="3" t="s">
        <v>543</v>
      </c>
    </row>
    <row r="161" spans="1:7">
      <c r="A161" t="s">
        <v>135</v>
      </c>
      <c r="B161" s="26"/>
      <c r="C161" s="26">
        <v>20</v>
      </c>
    </row>
    <row r="162" spans="1:7">
      <c r="A162" s="26" t="s">
        <v>107</v>
      </c>
      <c r="B162" s="26"/>
      <c r="C162" s="26">
        <v>35</v>
      </c>
    </row>
    <row r="163" spans="1:7">
      <c r="A163" t="s">
        <v>216</v>
      </c>
      <c r="B163" s="26"/>
      <c r="C163">
        <f>(C161/C162)+(5/60)</f>
        <v>0.65476190476190477</v>
      </c>
    </row>
    <row r="164" spans="1:7">
      <c r="A164" s="26" t="s">
        <v>129</v>
      </c>
      <c r="B164" s="26"/>
      <c r="C164" s="95">
        <f>'Price Assumptions'!$B$5</f>
        <v>13.91</v>
      </c>
    </row>
    <row r="165" spans="1:7">
      <c r="A165" s="26" t="s">
        <v>109</v>
      </c>
      <c r="B165" s="26"/>
      <c r="C165" s="95">
        <f>C163*C164</f>
        <v>9.107738095238096</v>
      </c>
    </row>
    <row r="166" spans="1:7">
      <c r="A166" s="26" t="s">
        <v>110</v>
      </c>
      <c r="B166" s="26"/>
      <c r="C166" s="15">
        <v>5.6070051072443761</v>
      </c>
      <c r="G166" s="26" t="s">
        <v>583</v>
      </c>
    </row>
    <row r="167" spans="1:7">
      <c r="A167" t="s">
        <v>161</v>
      </c>
      <c r="C167" s="95">
        <f>'Price Assumptions'!$B$7</f>
        <v>26.211180124223603</v>
      </c>
    </row>
    <row r="168" spans="1:7">
      <c r="A168" t="s">
        <v>162</v>
      </c>
      <c r="C168">
        <v>8</v>
      </c>
    </row>
    <row r="169" spans="1:7">
      <c r="A169" s="76" t="s">
        <v>170</v>
      </c>
      <c r="C169" s="95">
        <f>'Price Assumptions'!$B$3</f>
        <v>13.91</v>
      </c>
    </row>
    <row r="170" spans="1:7">
      <c r="A170" s="76"/>
    </row>
    <row r="172" spans="1:7">
      <c r="A172" s="3" t="s">
        <v>361</v>
      </c>
    </row>
    <row r="173" spans="1:7">
      <c r="A173" s="3"/>
    </row>
    <row r="174" spans="1:7">
      <c r="A174" s="26" t="s">
        <v>548</v>
      </c>
      <c r="C174" s="218">
        <v>3285</v>
      </c>
    </row>
    <row r="175" spans="1:7">
      <c r="A175" s="296" t="s">
        <v>163</v>
      </c>
      <c r="C175" s="218"/>
    </row>
    <row r="176" spans="1:7">
      <c r="A176" s="297" t="s">
        <v>164</v>
      </c>
      <c r="C176" s="218">
        <v>18600</v>
      </c>
    </row>
    <row r="177" spans="1:20">
      <c r="A177" s="297" t="s">
        <v>165</v>
      </c>
      <c r="C177" s="218">
        <v>291400</v>
      </c>
    </row>
    <row r="178" spans="1:20">
      <c r="A178" s="297" t="s">
        <v>166</v>
      </c>
      <c r="C178" s="218">
        <v>651000</v>
      </c>
    </row>
    <row r="179" spans="1:20">
      <c r="A179" s="297" t="s">
        <v>167</v>
      </c>
      <c r="C179" s="218">
        <v>1649200</v>
      </c>
    </row>
    <row r="180" spans="1:20">
      <c r="A180" s="297" t="s">
        <v>168</v>
      </c>
      <c r="C180" s="218">
        <v>3676600</v>
      </c>
    </row>
    <row r="181" spans="1:20">
      <c r="A181" s="297" t="s">
        <v>193</v>
      </c>
      <c r="C181" s="218">
        <v>6200000</v>
      </c>
    </row>
    <row r="183" spans="1:20">
      <c r="A183" s="199" t="s">
        <v>552</v>
      </c>
      <c r="D183" s="26" t="s">
        <v>556</v>
      </c>
    </row>
    <row r="184" spans="1:20" ht="15">
      <c r="A184" s="341" t="s">
        <v>562</v>
      </c>
      <c r="C184" s="329">
        <v>120523032</v>
      </c>
      <c r="D184" s="26"/>
    </row>
    <row r="185" spans="1:20" ht="15">
      <c r="A185" s="327" t="s">
        <v>549</v>
      </c>
      <c r="C185" s="329">
        <v>82000</v>
      </c>
      <c r="D185">
        <f>C185/$C$184/365</f>
        <v>1.8640215942009768E-6</v>
      </c>
    </row>
    <row r="186" spans="1:20" ht="15">
      <c r="A186" s="327" t="s">
        <v>550</v>
      </c>
      <c r="C186" s="329">
        <v>382</v>
      </c>
      <c r="D186">
        <f>C186/$C$184/365</f>
        <v>8.6836127924972328E-9</v>
      </c>
    </row>
    <row r="187" spans="1:20" ht="15">
      <c r="A187" s="327" t="s">
        <v>551</v>
      </c>
      <c r="C187" s="329">
        <v>35782</v>
      </c>
      <c r="D187">
        <f>C187/$C$184/365</f>
        <v>8.1339537419145546E-7</v>
      </c>
    </row>
    <row r="188" spans="1:20" ht="13.5" thickBot="1"/>
    <row r="189" spans="1:20" ht="16.5" thickBot="1">
      <c r="A189" s="199" t="s">
        <v>553</v>
      </c>
      <c r="D189" s="26" t="s">
        <v>561</v>
      </c>
      <c r="E189" s="330"/>
      <c r="G189" s="331">
        <v>1998</v>
      </c>
      <c r="H189" s="331">
        <v>1999</v>
      </c>
      <c r="I189" s="331">
        <v>2000</v>
      </c>
      <c r="J189" s="331">
        <v>2001</v>
      </c>
      <c r="K189" s="331">
        <v>2002</v>
      </c>
      <c r="L189" s="331">
        <v>2003</v>
      </c>
      <c r="M189" s="331">
        <v>2004</v>
      </c>
      <c r="N189" s="331">
        <v>2005</v>
      </c>
      <c r="O189" s="331">
        <v>2006</v>
      </c>
      <c r="P189" s="331">
        <v>2007</v>
      </c>
      <c r="Q189" s="331">
        <v>2008</v>
      </c>
      <c r="R189" s="332">
        <v>2009</v>
      </c>
      <c r="S189" s="333">
        <v>2010</v>
      </c>
    </row>
    <row r="190" spans="1:20" ht="15.75" thickTop="1">
      <c r="A190" s="327" t="s">
        <v>555</v>
      </c>
      <c r="B190" s="26" t="s">
        <v>566</v>
      </c>
      <c r="C190" s="329">
        <v>2708528.0500000003</v>
      </c>
      <c r="E190" s="330" t="s">
        <v>155</v>
      </c>
      <c r="G190" s="334">
        <v>75</v>
      </c>
      <c r="H190" s="334">
        <v>91</v>
      </c>
      <c r="I190" s="334">
        <v>92</v>
      </c>
      <c r="J190" s="334">
        <v>84</v>
      </c>
      <c r="K190" s="334">
        <v>85</v>
      </c>
      <c r="L190" s="334">
        <v>87</v>
      </c>
      <c r="M190" s="334">
        <v>72</v>
      </c>
      <c r="N190" s="334">
        <v>99</v>
      </c>
      <c r="O190" s="334">
        <v>91</v>
      </c>
      <c r="P190" s="334">
        <v>111</v>
      </c>
      <c r="Q190" s="334">
        <v>87</v>
      </c>
      <c r="R190" s="334">
        <v>82</v>
      </c>
      <c r="S190" s="334">
        <v>86</v>
      </c>
      <c r="T190">
        <f>AVERAGE(G190:S190)</f>
        <v>87.84615384615384</v>
      </c>
    </row>
    <row r="191" spans="1:20">
      <c r="A191" s="327" t="s">
        <v>550</v>
      </c>
      <c r="C191" s="336">
        <f>T191</f>
        <v>81.615384615384613</v>
      </c>
      <c r="D191">
        <f>C191/C190/365</f>
        <v>8.2555465307736857E-8</v>
      </c>
      <c r="E191" s="330" t="s">
        <v>557</v>
      </c>
      <c r="G191" s="334">
        <v>69</v>
      </c>
      <c r="H191" s="334">
        <v>84</v>
      </c>
      <c r="I191" s="334">
        <v>87</v>
      </c>
      <c r="J191" s="334">
        <v>74</v>
      </c>
      <c r="K191" s="334">
        <v>80</v>
      </c>
      <c r="L191" s="334">
        <v>86</v>
      </c>
      <c r="M191" s="334">
        <v>65</v>
      </c>
      <c r="N191" s="334">
        <v>86</v>
      </c>
      <c r="O191" s="334">
        <v>88</v>
      </c>
      <c r="P191" s="334">
        <v>104</v>
      </c>
      <c r="Q191" s="334">
        <v>83</v>
      </c>
      <c r="R191" s="334">
        <v>78</v>
      </c>
      <c r="S191" s="335">
        <v>77</v>
      </c>
      <c r="T191">
        <f>AVERAGE(G191:S191)</f>
        <v>81.615384615384613</v>
      </c>
    </row>
    <row r="192" spans="1:20">
      <c r="A192" s="327" t="s">
        <v>551</v>
      </c>
      <c r="C192" s="336">
        <v>2487.7764857881139</v>
      </c>
      <c r="D192">
        <f>C192/C190/365</f>
        <v>2.5164317528336415E-6</v>
      </c>
      <c r="E192" s="330" t="s">
        <v>558</v>
      </c>
      <c r="G192" s="335">
        <v>6</v>
      </c>
      <c r="H192" s="335">
        <v>7</v>
      </c>
      <c r="I192" s="335">
        <v>5</v>
      </c>
      <c r="J192" s="335">
        <v>10</v>
      </c>
      <c r="K192" s="335">
        <v>5</v>
      </c>
      <c r="L192" s="335">
        <v>1</v>
      </c>
      <c r="M192" s="335">
        <v>7</v>
      </c>
      <c r="N192" s="335">
        <v>13</v>
      </c>
      <c r="O192" s="335">
        <v>3</v>
      </c>
      <c r="P192" s="335">
        <v>7</v>
      </c>
      <c r="Q192" s="335">
        <v>4</v>
      </c>
      <c r="R192" s="335">
        <v>4</v>
      </c>
      <c r="S192" s="335">
        <v>9</v>
      </c>
      <c r="T192">
        <f>AVERAGE(G192:S192)</f>
        <v>6.2307692307692308</v>
      </c>
    </row>
    <row r="195" spans="1:4">
      <c r="A195" s="199" t="s">
        <v>554</v>
      </c>
    </row>
    <row r="196" spans="1:4">
      <c r="A196" s="327" t="s">
        <v>555</v>
      </c>
      <c r="B196" s="26" t="s">
        <v>566</v>
      </c>
      <c r="C196">
        <v>91176.488000000012</v>
      </c>
      <c r="D196" s="26" t="s">
        <v>561</v>
      </c>
    </row>
    <row r="197" spans="1:4">
      <c r="A197" s="327" t="s">
        <v>550</v>
      </c>
      <c r="C197" s="126">
        <v>6.2307692307692308</v>
      </c>
      <c r="D197">
        <f>C197/C196/365</f>
        <v>1.8722590666405648E-7</v>
      </c>
    </row>
    <row r="198" spans="1:4">
      <c r="A198" s="327" t="s">
        <v>551</v>
      </c>
      <c r="C198" s="126">
        <v>290.7790697674418</v>
      </c>
      <c r="D198">
        <f>C198/C196/365</f>
        <v>8.7375046258002826E-6</v>
      </c>
    </row>
  </sheetData>
  <phoneticPr fontId="3" type="noConversion"/>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sheetPr codeName="Sheet2">
    <tabColor indexed="50"/>
  </sheetPr>
  <dimension ref="A1:H25"/>
  <sheetViews>
    <sheetView workbookViewId="0">
      <selection activeCell="A21" sqref="A21"/>
    </sheetView>
  </sheetViews>
  <sheetFormatPr defaultRowHeight="12.75"/>
  <cols>
    <col min="1" max="1" width="45" bestFit="1" customWidth="1"/>
    <col min="2" max="2" width="12.7109375" bestFit="1" customWidth="1"/>
    <col min="3" max="3" width="12.5703125" customWidth="1"/>
    <col min="4" max="4" width="12.7109375" customWidth="1"/>
    <col min="5" max="5" width="9.140625" style="74"/>
    <col min="6" max="6" width="13.140625" style="74" bestFit="1" customWidth="1"/>
    <col min="7" max="7" width="14.28515625" style="74" bestFit="1" customWidth="1"/>
    <col min="8" max="8" width="104.85546875" style="30" bestFit="1" customWidth="1"/>
  </cols>
  <sheetData>
    <row r="1" spans="1:8">
      <c r="C1" s="6">
        <v>10</v>
      </c>
      <c r="D1" s="6">
        <v>90</v>
      </c>
      <c r="H1" s="26"/>
    </row>
    <row r="2" spans="1:8">
      <c r="A2" s="7" t="s">
        <v>44</v>
      </c>
      <c r="B2" s="7" t="s">
        <v>45</v>
      </c>
      <c r="C2" s="7" t="s">
        <v>46</v>
      </c>
      <c r="D2" s="7" t="s">
        <v>47</v>
      </c>
      <c r="E2" s="7" t="s">
        <v>48</v>
      </c>
      <c r="F2" s="7" t="s">
        <v>157</v>
      </c>
      <c r="G2" s="7" t="s">
        <v>158</v>
      </c>
      <c r="H2" s="27" t="s">
        <v>49</v>
      </c>
    </row>
    <row r="3" spans="1:8">
      <c r="A3" s="8" t="s">
        <v>214</v>
      </c>
      <c r="B3" s="9">
        <v>13.91</v>
      </c>
      <c r="C3" s="9"/>
      <c r="D3" s="10"/>
      <c r="E3" s="11">
        <v>2009</v>
      </c>
      <c r="F3" s="11">
        <v>2000</v>
      </c>
      <c r="G3" s="11">
        <v>11.2</v>
      </c>
      <c r="H3" s="90" t="s">
        <v>156</v>
      </c>
    </row>
    <row r="4" spans="1:8">
      <c r="A4" s="8" t="s">
        <v>215</v>
      </c>
      <c r="B4" s="9">
        <v>13.91</v>
      </c>
      <c r="C4" s="9"/>
      <c r="D4" s="10"/>
      <c r="E4" s="11">
        <v>2009</v>
      </c>
      <c r="F4" s="11">
        <v>2000</v>
      </c>
      <c r="G4" s="11">
        <v>11.2</v>
      </c>
      <c r="H4" s="28" t="s">
        <v>156</v>
      </c>
    </row>
    <row r="5" spans="1:8">
      <c r="A5" s="8" t="s">
        <v>50</v>
      </c>
      <c r="B5" s="9">
        <v>13.91</v>
      </c>
      <c r="C5" s="10"/>
      <c r="D5" s="10"/>
      <c r="E5" s="11">
        <v>2009</v>
      </c>
      <c r="F5" s="11">
        <v>2000</v>
      </c>
      <c r="G5" s="11">
        <v>11.2</v>
      </c>
      <c r="H5" s="102" t="s">
        <v>160</v>
      </c>
    </row>
    <row r="6" spans="1:8">
      <c r="A6" s="8" t="s">
        <v>120</v>
      </c>
      <c r="B6" s="9">
        <v>13.91</v>
      </c>
      <c r="C6" s="10"/>
      <c r="D6" s="10"/>
      <c r="E6" s="11">
        <v>2009</v>
      </c>
      <c r="F6" s="11">
        <v>2000</v>
      </c>
      <c r="G6" s="11">
        <v>11.2</v>
      </c>
      <c r="H6" s="28" t="s">
        <v>156</v>
      </c>
    </row>
    <row r="7" spans="1:8">
      <c r="A7" s="8" t="s">
        <v>159</v>
      </c>
      <c r="B7" s="9">
        <f>G7/0.805</f>
        <v>26.211180124223603</v>
      </c>
      <c r="C7" s="10"/>
      <c r="D7" s="10"/>
      <c r="E7" s="11">
        <v>2009</v>
      </c>
      <c r="F7" s="11">
        <v>2000</v>
      </c>
      <c r="G7" s="11">
        <v>21.1</v>
      </c>
      <c r="H7" s="28" t="s">
        <v>156</v>
      </c>
    </row>
    <row r="8" spans="1:8">
      <c r="A8" s="8" t="s">
        <v>76</v>
      </c>
      <c r="B8" s="100"/>
      <c r="C8" s="12"/>
      <c r="D8" s="12"/>
      <c r="E8" s="13"/>
      <c r="F8" s="13"/>
      <c r="G8" s="13"/>
      <c r="H8" s="28" t="s">
        <v>128</v>
      </c>
    </row>
    <row r="9" spans="1:8">
      <c r="A9" s="16" t="s">
        <v>51</v>
      </c>
      <c r="B9" s="17">
        <v>1700</v>
      </c>
      <c r="C9" s="14"/>
      <c r="D9" s="14"/>
      <c r="E9" s="11">
        <v>2009</v>
      </c>
      <c r="F9" s="11"/>
      <c r="G9" s="11"/>
      <c r="H9" s="28" t="s">
        <v>194</v>
      </c>
    </row>
    <row r="10" spans="1:8">
      <c r="A10" s="16" t="s">
        <v>52</v>
      </c>
      <c r="B10" s="17">
        <v>4000</v>
      </c>
      <c r="C10" s="14"/>
      <c r="D10" s="14"/>
      <c r="E10" s="11">
        <v>2009</v>
      </c>
      <c r="F10" s="11"/>
      <c r="G10" s="11"/>
      <c r="H10" s="28" t="s">
        <v>194</v>
      </c>
    </row>
    <row r="11" spans="1:8">
      <c r="A11" s="16" t="s">
        <v>53</v>
      </c>
      <c r="B11" s="17">
        <v>168000</v>
      </c>
      <c r="C11" s="14"/>
      <c r="D11" s="14"/>
      <c r="E11" s="11">
        <v>2009</v>
      </c>
      <c r="F11" s="11"/>
      <c r="G11" s="11"/>
      <c r="H11" s="28" t="s">
        <v>194</v>
      </c>
    </row>
    <row r="12" spans="1:8">
      <c r="A12" s="18" t="s">
        <v>54</v>
      </c>
      <c r="B12" s="17">
        <v>33</v>
      </c>
      <c r="C12" s="19"/>
      <c r="D12" s="19"/>
      <c r="E12" s="20">
        <v>2009</v>
      </c>
      <c r="F12" s="20"/>
      <c r="G12" s="20"/>
      <c r="H12" s="28" t="s">
        <v>194</v>
      </c>
    </row>
    <row r="13" spans="1:8">
      <c r="A13" s="21" t="s">
        <v>55</v>
      </c>
      <c r="B13" s="15">
        <f>B3*0.6</f>
        <v>8.3460000000000001</v>
      </c>
      <c r="C13" s="15">
        <f>C3*0.6</f>
        <v>0</v>
      </c>
      <c r="D13" s="15">
        <f>D3*0.6</f>
        <v>0</v>
      </c>
      <c r="E13" s="11">
        <v>2008</v>
      </c>
      <c r="F13" s="11"/>
      <c r="G13" s="11"/>
      <c r="H13" s="28" t="s">
        <v>56</v>
      </c>
    </row>
    <row r="14" spans="1:8">
      <c r="A14" s="21" t="s">
        <v>211</v>
      </c>
      <c r="B14" s="15">
        <v>1.65</v>
      </c>
      <c r="C14" s="15"/>
      <c r="D14" s="15"/>
      <c r="E14" s="11">
        <v>2009</v>
      </c>
      <c r="F14" s="11"/>
      <c r="G14" s="11"/>
      <c r="H14" s="28" t="s">
        <v>75</v>
      </c>
    </row>
    <row r="15" spans="1:8">
      <c r="A15" s="21" t="s">
        <v>212</v>
      </c>
      <c r="B15" s="15">
        <v>1.35</v>
      </c>
      <c r="C15" s="15"/>
      <c r="D15" s="15"/>
      <c r="E15" s="11">
        <v>2009</v>
      </c>
      <c r="F15" s="11"/>
      <c r="G15" s="11"/>
      <c r="H15" s="28" t="s">
        <v>75</v>
      </c>
    </row>
    <row r="16" spans="1:8">
      <c r="A16" s="21" t="s">
        <v>142</v>
      </c>
      <c r="B16" s="15"/>
      <c r="C16" s="15"/>
      <c r="D16" s="15"/>
      <c r="E16" s="11">
        <v>2009</v>
      </c>
      <c r="F16" s="11"/>
      <c r="G16" s="11"/>
      <c r="H16" s="28" t="s">
        <v>75</v>
      </c>
    </row>
    <row r="17" spans="1:8">
      <c r="A17" s="21" t="s">
        <v>213</v>
      </c>
      <c r="B17" s="15"/>
      <c r="C17" s="15"/>
      <c r="D17" s="15"/>
      <c r="E17" s="11"/>
      <c r="F17" s="11"/>
      <c r="G17" s="11"/>
      <c r="H17" s="28" t="s">
        <v>75</v>
      </c>
    </row>
    <row r="18" spans="1:8">
      <c r="A18" s="21" t="s">
        <v>151</v>
      </c>
      <c r="B18" s="15">
        <f>(1.25*0.58)+(1.35*0.42)</f>
        <v>1.292</v>
      </c>
      <c r="C18" s="15"/>
      <c r="D18" s="15"/>
      <c r="E18" s="11">
        <v>2009</v>
      </c>
      <c r="F18" s="11"/>
      <c r="G18" s="11"/>
      <c r="H18" s="98" t="s">
        <v>141</v>
      </c>
    </row>
    <row r="19" spans="1:8">
      <c r="A19" s="21" t="s">
        <v>150</v>
      </c>
      <c r="B19" s="15">
        <v>5</v>
      </c>
      <c r="C19" s="14"/>
      <c r="D19" s="14"/>
      <c r="E19" s="11">
        <v>2009</v>
      </c>
      <c r="F19" s="11"/>
      <c r="G19" s="11"/>
      <c r="H19" s="28" t="s">
        <v>195</v>
      </c>
    </row>
    <row r="20" spans="1:8" ht="17.25" customHeight="1">
      <c r="A20" s="21" t="s">
        <v>57</v>
      </c>
      <c r="B20" s="15">
        <v>14</v>
      </c>
      <c r="C20" s="14"/>
      <c r="D20" s="14"/>
      <c r="E20" s="11">
        <v>2009</v>
      </c>
      <c r="F20" s="11"/>
      <c r="G20" s="11"/>
      <c r="H20" s="29" t="s">
        <v>124</v>
      </c>
    </row>
    <row r="21" spans="1:8" ht="25.5">
      <c r="A21" s="85" t="s">
        <v>179</v>
      </c>
      <c r="B21" s="14">
        <f>G21/1.007</f>
        <v>5.4413625171743009E-2</v>
      </c>
      <c r="C21" s="14"/>
      <c r="D21" s="14">
        <f>330/365</f>
        <v>0.90410958904109584</v>
      </c>
      <c r="E21" s="11">
        <v>2009</v>
      </c>
      <c r="F21" s="11">
        <v>2008</v>
      </c>
      <c r="G21" s="11">
        <f>20/365</f>
        <v>5.4794520547945202E-2</v>
      </c>
      <c r="H21" s="28" t="s">
        <v>74</v>
      </c>
    </row>
    <row r="22" spans="1:8" ht="25.5">
      <c r="A22" s="85" t="s">
        <v>12</v>
      </c>
      <c r="B22" s="1">
        <v>0.2</v>
      </c>
      <c r="C22" s="1"/>
      <c r="D22" s="1">
        <v>0.5</v>
      </c>
      <c r="E22" s="11"/>
      <c r="F22" s="11"/>
      <c r="G22" s="11"/>
      <c r="H22" s="28" t="s">
        <v>197</v>
      </c>
    </row>
    <row r="23" spans="1:8" ht="25.5">
      <c r="A23" s="85" t="s">
        <v>13</v>
      </c>
      <c r="B23" s="82"/>
      <c r="C23" s="14"/>
      <c r="D23" s="14"/>
      <c r="E23" s="11">
        <v>2009</v>
      </c>
      <c r="F23" s="11">
        <v>2008</v>
      </c>
      <c r="G23" s="14"/>
      <c r="H23" s="28" t="s">
        <v>196</v>
      </c>
    </row>
    <row r="24" spans="1:8">
      <c r="A24" s="1" t="s">
        <v>121</v>
      </c>
      <c r="B24" s="86">
        <v>5.3999999999999999E-2</v>
      </c>
      <c r="C24" s="1"/>
      <c r="D24" s="1"/>
      <c r="E24" s="11">
        <v>2009</v>
      </c>
      <c r="F24" s="11"/>
      <c r="G24" s="11"/>
      <c r="H24" s="28" t="s">
        <v>58</v>
      </c>
    </row>
    <row r="25" spans="1:8">
      <c r="A25" s="1" t="s">
        <v>122</v>
      </c>
      <c r="B25" s="14">
        <v>2.3E-2</v>
      </c>
      <c r="C25" s="1"/>
      <c r="D25" s="1"/>
      <c r="E25" s="11">
        <v>2009</v>
      </c>
      <c r="F25" s="11"/>
      <c r="G25" s="11"/>
      <c r="H25" s="28" t="s">
        <v>58</v>
      </c>
    </row>
  </sheetData>
  <phoneticPr fontId="19" type="noConversion"/>
  <hyperlinks>
    <hyperlink ref="H5" r:id="rId1"/>
  </hyperlinks>
  <pageMargins left="0.75" right="0.75" top="1" bottom="1" header="0.5" footer="0.5"/>
  <pageSetup orientation="portrait" r:id="rId2"/>
  <headerFooter alignWithMargins="0"/>
</worksheet>
</file>

<file path=xl/worksheets/sheet19.xml><?xml version="1.0" encoding="utf-8"?>
<worksheet xmlns="http://schemas.openxmlformats.org/spreadsheetml/2006/main" xmlns:r="http://schemas.openxmlformats.org/officeDocument/2006/relationships">
  <sheetPr enableFormatConditionsCalculation="0">
    <tabColor indexed="50"/>
  </sheetPr>
  <dimension ref="A1:AB26"/>
  <sheetViews>
    <sheetView workbookViewId="0">
      <pane xSplit="1" ySplit="2" topLeftCell="B3" activePane="bottomRight" state="frozen"/>
      <selection pane="topRight" activeCell="B1" sqref="B1"/>
      <selection pane="bottomLeft" activeCell="A3" sqref="A3"/>
      <selection pane="bottomRight" activeCell="F34" sqref="F34"/>
    </sheetView>
  </sheetViews>
  <sheetFormatPr defaultRowHeight="12.75"/>
  <cols>
    <col min="1" max="1" width="25.85546875" customWidth="1"/>
    <col min="3" max="3" width="7.7109375" bestFit="1" customWidth="1"/>
    <col min="4" max="23" width="9.28515625" bestFit="1" customWidth="1"/>
  </cols>
  <sheetData>
    <row r="1" spans="1:28" s="74" customFormat="1">
      <c r="B1" s="74">
        <v>2009</v>
      </c>
      <c r="C1" s="74">
        <v>2010</v>
      </c>
      <c r="D1" s="72">
        <v>2011</v>
      </c>
      <c r="E1" s="72">
        <v>2012</v>
      </c>
      <c r="F1" s="72">
        <v>2013</v>
      </c>
      <c r="G1" s="72">
        <v>2014</v>
      </c>
      <c r="H1" s="72">
        <v>2015</v>
      </c>
      <c r="I1" s="72">
        <v>2016</v>
      </c>
      <c r="J1" s="72">
        <v>2017</v>
      </c>
      <c r="K1" s="72">
        <v>2018</v>
      </c>
      <c r="L1" s="72">
        <v>2019</v>
      </c>
      <c r="M1" s="72">
        <v>2020</v>
      </c>
      <c r="N1" s="72">
        <v>2021</v>
      </c>
      <c r="O1" s="72">
        <v>2022</v>
      </c>
      <c r="P1" s="72">
        <v>2023</v>
      </c>
      <c r="Q1" s="72">
        <v>2024</v>
      </c>
      <c r="R1" s="72">
        <v>2025</v>
      </c>
      <c r="S1" s="72">
        <v>2026</v>
      </c>
      <c r="T1" s="72">
        <v>2027</v>
      </c>
      <c r="U1" s="72">
        <v>2028</v>
      </c>
      <c r="V1" s="72">
        <v>2029</v>
      </c>
      <c r="W1" s="72">
        <v>2030</v>
      </c>
      <c r="X1" s="72">
        <v>2031</v>
      </c>
      <c r="Y1" s="72">
        <v>2032</v>
      </c>
      <c r="Z1" s="72">
        <v>2033</v>
      </c>
      <c r="AA1" s="72">
        <v>2034</v>
      </c>
      <c r="AB1" s="72">
        <v>2035</v>
      </c>
    </row>
    <row r="2" spans="1:28" s="74" customFormat="1">
      <c r="E2" s="72" t="s">
        <v>18</v>
      </c>
      <c r="F2" s="72" t="s">
        <v>19</v>
      </c>
      <c r="G2" s="72" t="s">
        <v>20</v>
      </c>
      <c r="H2" s="72" t="s">
        <v>21</v>
      </c>
      <c r="I2" s="72" t="s">
        <v>22</v>
      </c>
      <c r="J2" s="72" t="s">
        <v>23</v>
      </c>
      <c r="K2" s="72" t="s">
        <v>24</v>
      </c>
      <c r="L2" s="72" t="s">
        <v>25</v>
      </c>
      <c r="M2" s="72" t="s">
        <v>26</v>
      </c>
      <c r="N2" s="72" t="s">
        <v>27</v>
      </c>
      <c r="O2" s="72" t="s">
        <v>28</v>
      </c>
      <c r="P2" s="72" t="s">
        <v>29</v>
      </c>
      <c r="Q2" s="72" t="s">
        <v>30</v>
      </c>
      <c r="R2" s="72" t="s">
        <v>31</v>
      </c>
      <c r="S2" s="72" t="s">
        <v>32</v>
      </c>
      <c r="T2" s="72" t="s">
        <v>33</v>
      </c>
      <c r="U2" s="72" t="s">
        <v>34</v>
      </c>
      <c r="V2" s="72" t="s">
        <v>35</v>
      </c>
      <c r="W2" s="72" t="s">
        <v>36</v>
      </c>
      <c r="X2" s="72" t="s">
        <v>123</v>
      </c>
      <c r="Y2" s="72" t="s">
        <v>245</v>
      </c>
      <c r="Z2" s="72" t="s">
        <v>246</v>
      </c>
      <c r="AA2" s="72" t="s">
        <v>247</v>
      </c>
      <c r="AB2" s="72" t="s">
        <v>248</v>
      </c>
    </row>
    <row r="3" spans="1:28">
      <c r="A3" s="23" t="s">
        <v>62</v>
      </c>
    </row>
    <row r="4" spans="1:28">
      <c r="A4" t="s">
        <v>64</v>
      </c>
      <c r="C4">
        <v>0.58109999999999995</v>
      </c>
      <c r="D4">
        <f>((M4-C4)/10)+C4</f>
        <v>0.54696999999999996</v>
      </c>
      <c r="E4">
        <f>((M4-D4)/9)+D4</f>
        <v>0.51283999999999996</v>
      </c>
      <c r="F4">
        <f>((M4-E4)/8)+E4</f>
        <v>0.47870999999999997</v>
      </c>
      <c r="G4">
        <f>((M4-F4)/7)+F4</f>
        <v>0.44457999999999998</v>
      </c>
      <c r="H4">
        <f>((M4-G4)/6)+G4</f>
        <v>0.41044999999999998</v>
      </c>
      <c r="I4">
        <f>((M4-H4)/5)+H4</f>
        <v>0.37631999999999999</v>
      </c>
      <c r="J4">
        <f>((M4-I4)/4)+I4</f>
        <v>0.34218999999999999</v>
      </c>
      <c r="K4">
        <f>((M4-J4)/3)+J4</f>
        <v>0.30806</v>
      </c>
      <c r="L4">
        <f>((M4-K4)/2)+K4</f>
        <v>0.27393000000000001</v>
      </c>
      <c r="M4">
        <v>0.23980000000000001</v>
      </c>
      <c r="N4">
        <f>((W4-M4)/10)+M4</f>
        <v>0.23302</v>
      </c>
      <c r="O4">
        <f>((W4-N4)/9)+N4</f>
        <v>0.22624</v>
      </c>
      <c r="P4">
        <f>((W4-O4)/8)+O4</f>
        <v>0.21945999999999999</v>
      </c>
      <c r="Q4">
        <f>((W4-P4)/7)+P4</f>
        <v>0.21267999999999998</v>
      </c>
      <c r="R4">
        <f>((W4-Q4)/6)+Q4</f>
        <v>0.20589999999999997</v>
      </c>
      <c r="S4">
        <f>((W4-R4)/5)+R4</f>
        <v>0.19911999999999996</v>
      </c>
      <c r="T4">
        <f>((W4-S4)/4)+S4</f>
        <v>0.19233999999999996</v>
      </c>
      <c r="U4">
        <f>((W4-T4)/3)+T4</f>
        <v>0.18555999999999997</v>
      </c>
      <c r="V4">
        <f>((W4-U4)/2)+U4</f>
        <v>0.17877999999999999</v>
      </c>
      <c r="W4">
        <v>0.17199999999999999</v>
      </c>
      <c r="X4">
        <f t="shared" ref="X4" si="0">((Y4-W4)/2)+W4</f>
        <v>0.17199999999999999</v>
      </c>
      <c r="Y4">
        <v>0.17199999999999999</v>
      </c>
      <c r="Z4">
        <f t="shared" ref="Z4" si="1">((AA4-Y4)/2)+Y4</f>
        <v>0.17199999999999999</v>
      </c>
      <c r="AA4">
        <v>0.17199999999999999</v>
      </c>
      <c r="AB4">
        <v>0.17199999999999999</v>
      </c>
    </row>
    <row r="5" spans="1:28">
      <c r="A5" t="s">
        <v>66</v>
      </c>
      <c r="C5">
        <v>0.38109999999999999</v>
      </c>
      <c r="D5">
        <f>((M5-C5)/10)+C5</f>
        <v>0.35897000000000001</v>
      </c>
      <c r="E5">
        <f>((M5-D5)/9)+D5</f>
        <v>0.33684000000000003</v>
      </c>
      <c r="F5">
        <f>((M5-E5)/8)+E5</f>
        <v>0.31471000000000005</v>
      </c>
      <c r="G5">
        <f>((M5-F5)/7)+F5</f>
        <v>0.29258000000000006</v>
      </c>
      <c r="H5">
        <f>((M5-G5)/6)+G5</f>
        <v>0.27045000000000008</v>
      </c>
      <c r="I5">
        <f>((M5-H5)/5)+H5</f>
        <v>0.24832000000000007</v>
      </c>
      <c r="J5">
        <f>((M5-I5)/4)+I5</f>
        <v>0.22619000000000006</v>
      </c>
      <c r="K5">
        <f>((M5-J5)/3)+J5</f>
        <v>0.20406000000000005</v>
      </c>
      <c r="L5">
        <f>((M5-K5)/2)+K5</f>
        <v>0.18193000000000004</v>
      </c>
      <c r="M5">
        <v>0.1598</v>
      </c>
      <c r="N5">
        <f>((W5-M5)/10)+M5</f>
        <v>0.15725</v>
      </c>
      <c r="O5">
        <f>((W5-N5)/9)+N5</f>
        <v>0.1547</v>
      </c>
      <c r="P5">
        <f>((W5-O5)/8)+O5</f>
        <v>0.15215000000000001</v>
      </c>
      <c r="Q5">
        <f>((W5-P5)/7)+P5</f>
        <v>0.14960000000000001</v>
      </c>
      <c r="R5">
        <f>((W5-Q5)/6)+Q5</f>
        <v>0.14705000000000001</v>
      </c>
      <c r="S5">
        <f>((W5-R5)/5)+R5</f>
        <v>0.14450000000000002</v>
      </c>
      <c r="T5">
        <f>((W5-S5)/4)+S5</f>
        <v>0.14195000000000002</v>
      </c>
      <c r="U5">
        <f>((W5-T5)/3)+T5</f>
        <v>0.13940000000000002</v>
      </c>
      <c r="V5">
        <f>((W5-U5)/2)+U5</f>
        <v>0.13685000000000003</v>
      </c>
      <c r="W5">
        <v>0.1343</v>
      </c>
      <c r="X5">
        <f t="shared" ref="X5" si="2">((Y5-W5)/2)+W5</f>
        <v>0.1343</v>
      </c>
      <c r="Y5">
        <v>0.1343</v>
      </c>
      <c r="Z5">
        <f t="shared" ref="Z5" si="3">((AA5-Y5)/2)+Y5</f>
        <v>0.1343</v>
      </c>
      <c r="AA5">
        <v>0.1343</v>
      </c>
      <c r="AB5">
        <v>0.1343</v>
      </c>
    </row>
    <row r="6" spans="1:28">
      <c r="A6" t="s">
        <v>116</v>
      </c>
      <c r="D6" s="35">
        <f>'Price Assumptions'!$B$10</f>
        <v>4000</v>
      </c>
      <c r="E6" s="35">
        <f>'Price Assumptions'!$B$10</f>
        <v>4000</v>
      </c>
      <c r="F6" s="35">
        <f>'Price Assumptions'!$B$10</f>
        <v>4000</v>
      </c>
      <c r="G6" s="35">
        <f>'Price Assumptions'!$B$10</f>
        <v>4000</v>
      </c>
      <c r="H6" s="35">
        <f>'Price Assumptions'!$B$10</f>
        <v>4000</v>
      </c>
      <c r="I6" s="35">
        <f>'Price Assumptions'!$B$10</f>
        <v>4000</v>
      </c>
      <c r="J6" s="35">
        <f>'Price Assumptions'!$B$10</f>
        <v>4000</v>
      </c>
      <c r="K6" s="35">
        <f>'Price Assumptions'!$B$10</f>
        <v>4000</v>
      </c>
      <c r="L6" s="35">
        <f>'Price Assumptions'!$B$10</f>
        <v>4000</v>
      </c>
      <c r="M6" s="35">
        <f>'Price Assumptions'!$B$10</f>
        <v>4000</v>
      </c>
      <c r="N6" s="35">
        <f>'Price Assumptions'!$B$10</f>
        <v>4000</v>
      </c>
      <c r="O6" s="35">
        <f>'Price Assumptions'!$B$10</f>
        <v>4000</v>
      </c>
      <c r="P6" s="35">
        <f>'Price Assumptions'!$B$10</f>
        <v>4000</v>
      </c>
      <c r="Q6" s="35">
        <f>'Price Assumptions'!$B$10</f>
        <v>4000</v>
      </c>
      <c r="R6" s="35">
        <f>'Price Assumptions'!$B$10</f>
        <v>4000</v>
      </c>
      <c r="S6" s="35">
        <f>'Price Assumptions'!$B$10</f>
        <v>4000</v>
      </c>
      <c r="T6" s="35">
        <f>'Price Assumptions'!$B$10</f>
        <v>4000</v>
      </c>
      <c r="U6" s="35">
        <f>'Price Assumptions'!$B$10</f>
        <v>4000</v>
      </c>
      <c r="V6" s="35">
        <f>'Price Assumptions'!$B$10</f>
        <v>4000</v>
      </c>
      <c r="W6" s="35">
        <f>'Price Assumptions'!$B$10</f>
        <v>4000</v>
      </c>
      <c r="X6" s="35">
        <f>'Price Assumptions'!$B$10</f>
        <v>4000</v>
      </c>
      <c r="Y6" s="35">
        <f>'Price Assumptions'!$B$10</f>
        <v>4000</v>
      </c>
      <c r="Z6" s="35">
        <f>'Price Assumptions'!$B$10</f>
        <v>4000</v>
      </c>
      <c r="AA6" s="35">
        <f>'Price Assumptions'!$B$10</f>
        <v>4000</v>
      </c>
      <c r="AB6" s="35">
        <f>'Price Assumptions'!$B$10</f>
        <v>4000</v>
      </c>
    </row>
    <row r="8" spans="1:28">
      <c r="A8" s="23" t="s">
        <v>43</v>
      </c>
    </row>
    <row r="9" spans="1:28">
      <c r="A9" t="s">
        <v>67</v>
      </c>
      <c r="C9">
        <v>0.95989999999999998</v>
      </c>
      <c r="D9">
        <f>((M9-C9)/10)+C9</f>
        <v>0.91769000000000001</v>
      </c>
      <c r="E9">
        <f>((M9-D9)/9)+D9</f>
        <v>0.87548000000000004</v>
      </c>
      <c r="F9">
        <f>((M9-E9)/8)+E9</f>
        <v>0.83327000000000007</v>
      </c>
      <c r="G9">
        <f>((M9-F9)/7)+F9</f>
        <v>0.7910600000000001</v>
      </c>
      <c r="H9">
        <f>((M9-G9)/6)+G9</f>
        <v>0.74885000000000002</v>
      </c>
      <c r="I9">
        <f>((M9-H9)/5)+H9</f>
        <v>0.70664000000000005</v>
      </c>
      <c r="J9">
        <f>((M9-I9)/4)+I9</f>
        <v>0.66443000000000008</v>
      </c>
      <c r="K9">
        <f>((M9-J9)/3)+J9</f>
        <v>0.62222</v>
      </c>
      <c r="L9">
        <f>((M9-K9)/2)+K9</f>
        <v>0.58000999999999991</v>
      </c>
      <c r="M9">
        <v>0.53779999999999994</v>
      </c>
      <c r="N9">
        <f>((W9-M9)/10)+M9</f>
        <v>0.53118999999999994</v>
      </c>
      <c r="O9">
        <f>((W9-N9)/9)+N9</f>
        <v>0.52457999999999994</v>
      </c>
      <c r="P9">
        <f>((W9-O9)/8)+O9</f>
        <v>0.51796999999999993</v>
      </c>
      <c r="Q9">
        <f>((W9-P9)/7)+P9</f>
        <v>0.51135999999999993</v>
      </c>
      <c r="R9">
        <f>((W9-Q9)/6)+Q9</f>
        <v>0.50474999999999992</v>
      </c>
      <c r="S9">
        <f>((W9-R9)/5)+R9</f>
        <v>0.49813999999999992</v>
      </c>
      <c r="T9">
        <f>((W9-S9)/4)+S9</f>
        <v>0.49152999999999991</v>
      </c>
      <c r="U9">
        <f>((W9-T9)/3)+T9</f>
        <v>0.48491999999999996</v>
      </c>
      <c r="V9">
        <f>((W9-U9)/2)+U9</f>
        <v>0.47831000000000001</v>
      </c>
      <c r="W9">
        <v>0.47170000000000001</v>
      </c>
      <c r="X9">
        <f t="shared" ref="X9" si="4">((Y9-W9)/2)+W9</f>
        <v>0.47170000000000001</v>
      </c>
      <c r="Y9">
        <v>0.47170000000000001</v>
      </c>
      <c r="Z9">
        <f t="shared" ref="Z9" si="5">((AA9-Y9)/2)+Y9</f>
        <v>0.47170000000000001</v>
      </c>
      <c r="AA9">
        <v>0.47170000000000001</v>
      </c>
      <c r="AB9">
        <v>0.47170000000000001</v>
      </c>
    </row>
    <row r="10" spans="1:28">
      <c r="A10" t="s">
        <v>65</v>
      </c>
      <c r="C10">
        <v>0.16170000000000001</v>
      </c>
      <c r="D10">
        <f>((M10-C10)/10)+C10</f>
        <v>0.15521000000000001</v>
      </c>
      <c r="E10">
        <f>((M10-D10)/9)+D10</f>
        <v>0.14872000000000002</v>
      </c>
      <c r="F10">
        <f>((M10-E10)/8)+E10</f>
        <v>0.14223000000000002</v>
      </c>
      <c r="G10">
        <f>((M10-F10)/7)+F10</f>
        <v>0.13574000000000003</v>
      </c>
      <c r="H10">
        <f>((M10-G10)/6)+G10</f>
        <v>0.12925000000000003</v>
      </c>
      <c r="I10">
        <f>((M10-H10)/5)+H10</f>
        <v>0.12276000000000002</v>
      </c>
      <c r="J10">
        <f>((M10-I10)/4)+I10</f>
        <v>0.11627000000000001</v>
      </c>
      <c r="K10">
        <f>((M10-J10)/3)+J10</f>
        <v>0.10978</v>
      </c>
      <c r="L10">
        <f>((M10-K10)/2)+K10</f>
        <v>0.10328999999999999</v>
      </c>
      <c r="M10">
        <v>9.6799999999999997E-2</v>
      </c>
      <c r="N10">
        <f>((W10-M10)/10)+M10</f>
        <v>9.6169999999999992E-2</v>
      </c>
      <c r="O10">
        <f>((W10-N10)/9)+N10</f>
        <v>9.5539999999999986E-2</v>
      </c>
      <c r="P10">
        <f>((W10-O10)/8)+O10</f>
        <v>9.4909999999999994E-2</v>
      </c>
      <c r="Q10">
        <f>((W10-P10)/7)+P10</f>
        <v>9.4279999999999989E-2</v>
      </c>
      <c r="R10">
        <f>((W10-Q10)/6)+Q10</f>
        <v>9.3649999999999983E-2</v>
      </c>
      <c r="S10">
        <f>((W10-R10)/5)+R10</f>
        <v>9.3019999999999992E-2</v>
      </c>
      <c r="T10">
        <f>((W10-S10)/4)+S10</f>
        <v>9.239E-2</v>
      </c>
      <c r="U10">
        <f>((W10-T10)/3)+T10</f>
        <v>9.1759999999999994E-2</v>
      </c>
      <c r="V10">
        <f>((W10-U10)/2)+U10</f>
        <v>9.1129999999999989E-2</v>
      </c>
      <c r="W10">
        <v>9.0499999999999997E-2</v>
      </c>
      <c r="X10">
        <f t="shared" ref="X10" si="6">((Y10-W10)/2)+W10</f>
        <v>9.0499999999999997E-2</v>
      </c>
      <c r="Y10">
        <v>9.0499999999999997E-2</v>
      </c>
      <c r="Z10">
        <f t="shared" ref="Z10" si="7">((AA10-Y10)/2)+Y10</f>
        <v>9.0499999999999997E-2</v>
      </c>
      <c r="AA10">
        <v>9.0499999999999997E-2</v>
      </c>
      <c r="AB10">
        <v>9.0499999999999997E-2</v>
      </c>
    </row>
    <row r="11" spans="1:28">
      <c r="A11" t="s">
        <v>68</v>
      </c>
      <c r="C11">
        <v>0.56610000000000005</v>
      </c>
      <c r="D11">
        <f>((M11-C11)/10)+C11</f>
        <v>0.53533000000000008</v>
      </c>
      <c r="E11">
        <f>((M11-D11)/9)+D11</f>
        <v>0.50456000000000012</v>
      </c>
      <c r="F11">
        <f>((M11-E11)/8)+E11</f>
        <v>0.4737900000000001</v>
      </c>
      <c r="G11">
        <f>((M11-F11)/7)+F11</f>
        <v>0.44302000000000008</v>
      </c>
      <c r="H11">
        <f>((M11-G11)/6)+G11</f>
        <v>0.41225000000000006</v>
      </c>
      <c r="I11">
        <f>((M11-H11)/5)+H11</f>
        <v>0.38148000000000004</v>
      </c>
      <c r="J11">
        <f>((M11-I11)/4)+I11</f>
        <v>0.35071000000000002</v>
      </c>
      <c r="K11">
        <f>((M11-J11)/3)+J11</f>
        <v>0.31994</v>
      </c>
      <c r="L11">
        <f>((M11-K11)/2)+K11</f>
        <v>0.28917000000000004</v>
      </c>
      <c r="M11">
        <v>0.25840000000000002</v>
      </c>
      <c r="N11">
        <f>((W11-M11)/10)+M11</f>
        <v>0.25251000000000001</v>
      </c>
      <c r="O11">
        <f>((W11-N11)/9)+N11</f>
        <v>0.24662000000000001</v>
      </c>
      <c r="P11">
        <f>((W11-O11)/8)+O11</f>
        <v>0.24073</v>
      </c>
      <c r="Q11">
        <f>((W11-P11)/7)+P11</f>
        <v>0.23483999999999999</v>
      </c>
      <c r="R11">
        <f>((W11-Q11)/6)+Q11</f>
        <v>0.22894999999999999</v>
      </c>
      <c r="S11">
        <f>((W11-R11)/5)+R11</f>
        <v>0.22305999999999998</v>
      </c>
      <c r="T11">
        <f>((W11-S11)/4)+S11</f>
        <v>0.21716999999999997</v>
      </c>
      <c r="U11">
        <f>((W11-T11)/3)+T11</f>
        <v>0.21128</v>
      </c>
      <c r="V11">
        <f>((W11-U11)/2)+U11</f>
        <v>0.20539000000000002</v>
      </c>
      <c r="W11">
        <v>0.19950000000000001</v>
      </c>
      <c r="X11">
        <f t="shared" ref="X11" si="8">((Y11-W11)/2)+W11</f>
        <v>0.19950000000000001</v>
      </c>
      <c r="Y11">
        <v>0.19950000000000001</v>
      </c>
      <c r="Z11">
        <f t="shared" ref="Z11" si="9">((AA11-Y11)/2)+Y11</f>
        <v>0.19950000000000001</v>
      </c>
      <c r="AA11">
        <v>0.19950000000000001</v>
      </c>
      <c r="AB11">
        <v>0.19950000000000001</v>
      </c>
    </row>
    <row r="12" spans="1:28">
      <c r="A12" t="s">
        <v>116</v>
      </c>
      <c r="D12" s="35">
        <f>'Price Assumptions'!$B$9</f>
        <v>1700</v>
      </c>
      <c r="E12" s="35">
        <f>'Price Assumptions'!$B$9</f>
        <v>1700</v>
      </c>
      <c r="F12" s="35">
        <f>'Price Assumptions'!$B$9</f>
        <v>1700</v>
      </c>
      <c r="G12" s="35">
        <f>'Price Assumptions'!$B$9</f>
        <v>1700</v>
      </c>
      <c r="H12" s="35">
        <f>'Price Assumptions'!$B$9</f>
        <v>1700</v>
      </c>
      <c r="I12" s="35">
        <f>'Price Assumptions'!$B$9</f>
        <v>1700</v>
      </c>
      <c r="J12" s="35">
        <f>'Price Assumptions'!$B$9</f>
        <v>1700</v>
      </c>
      <c r="K12" s="35">
        <f>'Price Assumptions'!$B$9</f>
        <v>1700</v>
      </c>
      <c r="L12" s="35">
        <f>'Price Assumptions'!$B$9</f>
        <v>1700</v>
      </c>
      <c r="M12" s="35">
        <f>'Price Assumptions'!$B$9</f>
        <v>1700</v>
      </c>
      <c r="N12" s="35">
        <f>'Price Assumptions'!$B$9</f>
        <v>1700</v>
      </c>
      <c r="O12" s="35">
        <f>'Price Assumptions'!$B$9</f>
        <v>1700</v>
      </c>
      <c r="P12" s="35">
        <f>'Price Assumptions'!$B$9</f>
        <v>1700</v>
      </c>
      <c r="Q12" s="35">
        <f>'Price Assumptions'!$B$9</f>
        <v>1700</v>
      </c>
      <c r="R12" s="35">
        <f>'Price Assumptions'!$B$9</f>
        <v>1700</v>
      </c>
      <c r="S12" s="35">
        <f>'Price Assumptions'!$B$9</f>
        <v>1700</v>
      </c>
      <c r="T12" s="35">
        <f>'Price Assumptions'!$B$9</f>
        <v>1700</v>
      </c>
      <c r="U12" s="35">
        <f>'Price Assumptions'!$B$9</f>
        <v>1700</v>
      </c>
      <c r="V12" s="35">
        <f>'Price Assumptions'!$B$9</f>
        <v>1700</v>
      </c>
      <c r="W12" s="35">
        <f>'Price Assumptions'!$B$9</f>
        <v>1700</v>
      </c>
      <c r="X12" s="35">
        <f>'Price Assumptions'!$B$9</f>
        <v>1700</v>
      </c>
      <c r="Y12" s="35">
        <f>'Price Assumptions'!$B$9</f>
        <v>1700</v>
      </c>
      <c r="Z12" s="35">
        <f>'Price Assumptions'!$B$9</f>
        <v>1700</v>
      </c>
      <c r="AA12" s="35">
        <f>'Price Assumptions'!$B$9</f>
        <v>1700</v>
      </c>
      <c r="AB12" s="35">
        <f>'Price Assumptions'!$B$9</f>
        <v>1700</v>
      </c>
    </row>
    <row r="14" spans="1:28">
      <c r="A14" s="23" t="s">
        <v>69</v>
      </c>
      <c r="C14">
        <v>1.17E-2</v>
      </c>
      <c r="D14">
        <f>((M14-C14)/10)+C14</f>
        <v>1.166E-2</v>
      </c>
      <c r="E14">
        <f>((M14-D14)/9)+D14</f>
        <v>1.162E-2</v>
      </c>
      <c r="F14">
        <f>((M14-E14)/8)+E14</f>
        <v>1.158E-2</v>
      </c>
      <c r="G14">
        <f>((M14-F14)/7)+F14</f>
        <v>1.154E-2</v>
      </c>
      <c r="H14">
        <f>((M14-G14)/6)+G14</f>
        <v>1.15E-2</v>
      </c>
      <c r="I14">
        <f>((M14-H14)/5)+H14</f>
        <v>1.146E-2</v>
      </c>
      <c r="J14">
        <f>((M14-I14)/4)+I14</f>
        <v>1.142E-2</v>
      </c>
      <c r="K14">
        <f>((M14-J14)/3)+J14</f>
        <v>1.1379999999999999E-2</v>
      </c>
      <c r="L14">
        <f>((M14-K14)/2)+K14</f>
        <v>1.1339999999999999E-2</v>
      </c>
      <c r="M14">
        <v>1.1299999999999999E-2</v>
      </c>
      <c r="N14">
        <f>((W14-M14)/10)+M14</f>
        <v>1.1299999999999999E-2</v>
      </c>
      <c r="O14">
        <f>((W14-N14)/9)+N14</f>
        <v>1.1299999999999999E-2</v>
      </c>
      <c r="P14">
        <f>((W14-O14)/8)+O14</f>
        <v>1.1299999999999999E-2</v>
      </c>
      <c r="Q14">
        <f>((W14-P14)/7)+P14</f>
        <v>1.1299999999999999E-2</v>
      </c>
      <c r="R14">
        <f>((W14-Q14)/6)+Q14</f>
        <v>1.1299999999999999E-2</v>
      </c>
      <c r="S14">
        <f>((W14-R14)/5)+R14</f>
        <v>1.1299999999999999E-2</v>
      </c>
      <c r="T14">
        <f>((W14-S14)/4)+S14</f>
        <v>1.1299999999999999E-2</v>
      </c>
      <c r="U14">
        <f>((W14-T14)/3)+T14</f>
        <v>1.1299999999999999E-2</v>
      </c>
      <c r="V14">
        <f>((W14-U14)/2)+U14</f>
        <v>1.1299999999999999E-2</v>
      </c>
      <c r="W14">
        <v>1.1299999999999999E-2</v>
      </c>
      <c r="X14">
        <v>1.1299999999999999E-2</v>
      </c>
      <c r="Y14">
        <v>1.1299999999999999E-2</v>
      </c>
      <c r="Z14">
        <v>1.1299999999999999E-2</v>
      </c>
      <c r="AA14">
        <v>1.1299999999999999E-2</v>
      </c>
      <c r="AB14">
        <v>1.1299999999999999E-2</v>
      </c>
    </row>
    <row r="15" spans="1:28">
      <c r="A15" s="84" t="s">
        <v>116</v>
      </c>
      <c r="D15" s="35">
        <f>'Price Assumptions'!$B$11</f>
        <v>168000</v>
      </c>
      <c r="E15" s="35">
        <f>'Price Assumptions'!$B$11</f>
        <v>168000</v>
      </c>
      <c r="F15" s="35">
        <f>'Price Assumptions'!$B$11</f>
        <v>168000</v>
      </c>
      <c r="G15" s="35">
        <f>'Price Assumptions'!$B$11</f>
        <v>168000</v>
      </c>
      <c r="H15" s="35">
        <f>'Price Assumptions'!$B$11</f>
        <v>168000</v>
      </c>
      <c r="I15" s="35">
        <f>'Price Assumptions'!$B$11</f>
        <v>168000</v>
      </c>
      <c r="J15" s="35">
        <f>'Price Assumptions'!$B$11</f>
        <v>168000</v>
      </c>
      <c r="K15" s="35">
        <f>'Price Assumptions'!$B$11</f>
        <v>168000</v>
      </c>
      <c r="L15" s="35">
        <f>'Price Assumptions'!$B$11</f>
        <v>168000</v>
      </c>
      <c r="M15" s="35">
        <f>'Price Assumptions'!$B$11</f>
        <v>168000</v>
      </c>
      <c r="N15" s="35">
        <f>'Price Assumptions'!$B$11</f>
        <v>168000</v>
      </c>
      <c r="O15" s="35">
        <f>'Price Assumptions'!$B$11</f>
        <v>168000</v>
      </c>
      <c r="P15" s="35">
        <f>'Price Assumptions'!$B$11</f>
        <v>168000</v>
      </c>
      <c r="Q15" s="35">
        <f>'Price Assumptions'!$B$11</f>
        <v>168000</v>
      </c>
      <c r="R15" s="35">
        <f>'Price Assumptions'!$B$11</f>
        <v>168000</v>
      </c>
      <c r="S15" s="35">
        <f>'Price Assumptions'!$B$11</f>
        <v>168000</v>
      </c>
      <c r="T15" s="35">
        <f>'Price Assumptions'!$B$11</f>
        <v>168000</v>
      </c>
      <c r="U15" s="35">
        <f>'Price Assumptions'!$B$11</f>
        <v>168000</v>
      </c>
      <c r="V15" s="35">
        <f>'Price Assumptions'!$B$11</f>
        <v>168000</v>
      </c>
      <c r="W15" s="35">
        <f>'Price Assumptions'!$B$11</f>
        <v>168000</v>
      </c>
      <c r="X15" s="35">
        <f>'Price Assumptions'!$B$11</f>
        <v>168000</v>
      </c>
      <c r="Y15" s="35">
        <f>'Price Assumptions'!$B$11</f>
        <v>168000</v>
      </c>
      <c r="Z15" s="35">
        <f>'Price Assumptions'!$B$11</f>
        <v>168000</v>
      </c>
      <c r="AA15" s="35">
        <f>'Price Assumptions'!$B$11</f>
        <v>168000</v>
      </c>
      <c r="AB15" s="35">
        <f>'Price Assumptions'!$B$11</f>
        <v>168000</v>
      </c>
    </row>
    <row r="17" spans="1:28">
      <c r="A17" s="23" t="s">
        <v>70</v>
      </c>
    </row>
    <row r="18" spans="1:28">
      <c r="A18" t="s">
        <v>63</v>
      </c>
      <c r="C18">
        <v>0.61319999999999997</v>
      </c>
      <c r="D18">
        <f>((M18-C18)/10)+C18</f>
        <v>0.57692999999999994</v>
      </c>
      <c r="E18">
        <f>((M18-D18)/9)+D18</f>
        <v>0.54065999999999992</v>
      </c>
      <c r="F18">
        <f>((M18-E18)/8)+E18</f>
        <v>0.50438999999999989</v>
      </c>
      <c r="G18">
        <f>((M18-F18)/7)+F18</f>
        <v>0.46811999999999993</v>
      </c>
      <c r="H18">
        <f>((M18-G18)/6)+G18</f>
        <v>0.43184999999999996</v>
      </c>
      <c r="I18">
        <f>((M18-H18)/5)+H18</f>
        <v>0.39557999999999999</v>
      </c>
      <c r="J18">
        <f>((M18-I18)/4)+I18</f>
        <v>0.35931000000000002</v>
      </c>
      <c r="K18">
        <f>((M18-J18)/3)+J18</f>
        <v>0.32303999999999999</v>
      </c>
      <c r="L18">
        <f>((M18-K18)/2)+K18</f>
        <v>0.28676999999999997</v>
      </c>
      <c r="M18">
        <v>0.2505</v>
      </c>
      <c r="N18">
        <f>((W18-M18)/10)+M18</f>
        <v>0.24349000000000001</v>
      </c>
      <c r="O18">
        <f>((W18-N18)/9)+N18</f>
        <v>0.23648000000000002</v>
      </c>
      <c r="P18">
        <f>((W18-O18)/8)+O18</f>
        <v>0.22947000000000001</v>
      </c>
      <c r="Q18">
        <f>((W18-P18)/7)+P18</f>
        <v>0.22246000000000002</v>
      </c>
      <c r="R18">
        <f>((W18-Q18)/6)+Q18</f>
        <v>0.21545000000000003</v>
      </c>
      <c r="S18">
        <f>((W18-R18)/5)+R18</f>
        <v>0.20844000000000001</v>
      </c>
      <c r="T18">
        <f>((W18-S18)/4)+S18</f>
        <v>0.20143</v>
      </c>
      <c r="U18">
        <f>((W18-T18)/3)+T18</f>
        <v>0.19442000000000001</v>
      </c>
      <c r="V18">
        <f>((W18-U18)/2)+U18</f>
        <v>0.18741000000000002</v>
      </c>
      <c r="W18">
        <v>0.1804</v>
      </c>
      <c r="X18">
        <f t="shared" ref="X18" si="10">((Y18-W18)/2)+W18</f>
        <v>0.1804</v>
      </c>
      <c r="Y18">
        <v>0.1804</v>
      </c>
      <c r="Z18">
        <f t="shared" ref="Z18" si="11">((AA18-Y18)/2)+Y18</f>
        <v>0.1804</v>
      </c>
      <c r="AA18">
        <v>0.1804</v>
      </c>
      <c r="AB18">
        <v>0.1804</v>
      </c>
    </row>
    <row r="19" spans="1:28">
      <c r="A19" t="s">
        <v>71</v>
      </c>
      <c r="C19">
        <v>0.38250000000000001</v>
      </c>
      <c r="D19">
        <f>((M19-C19)/10)+C19</f>
        <v>0.35982000000000003</v>
      </c>
      <c r="E19">
        <f>((M19-D19)/9)+D19</f>
        <v>0.33714000000000005</v>
      </c>
      <c r="F19">
        <f>((M19-E19)/8)+E19</f>
        <v>0.31446000000000007</v>
      </c>
      <c r="G19">
        <f>((M19-F19)/7)+F19</f>
        <v>0.29178000000000004</v>
      </c>
      <c r="H19">
        <f>((M19-G19)/6)+G19</f>
        <v>0.26910000000000001</v>
      </c>
      <c r="I19">
        <f>((M19-H19)/5)+H19</f>
        <v>0.24642</v>
      </c>
      <c r="J19">
        <f>((M19-I19)/4)+I19</f>
        <v>0.22373999999999999</v>
      </c>
      <c r="K19">
        <f>((M19-J19)/3)+J19</f>
        <v>0.20105999999999999</v>
      </c>
      <c r="L19">
        <f>((M19-K19)/2)+K19</f>
        <v>0.17837999999999998</v>
      </c>
      <c r="M19">
        <v>0.15570000000000001</v>
      </c>
      <c r="N19">
        <f>((W19-M19)/10)+M19</f>
        <v>0.15316000000000002</v>
      </c>
      <c r="O19">
        <f>((W19-N19)/9)+N19</f>
        <v>0.15062</v>
      </c>
      <c r="P19">
        <f>((W19-O19)/8)+O19</f>
        <v>0.14807999999999999</v>
      </c>
      <c r="Q19">
        <f>((W19-P19)/7)+P19</f>
        <v>0.14554</v>
      </c>
      <c r="R19">
        <f>((W19-Q19)/6)+Q19</f>
        <v>0.14300000000000002</v>
      </c>
      <c r="S19">
        <f>((W19-R19)/5)+R19</f>
        <v>0.14046</v>
      </c>
      <c r="T19">
        <f>((W19-S19)/4)+S19</f>
        <v>0.13791999999999999</v>
      </c>
      <c r="U19">
        <f>((W19-T19)/3)+T19</f>
        <v>0.13538</v>
      </c>
      <c r="V19">
        <f>((W19-U19)/2)+U19</f>
        <v>0.13284000000000001</v>
      </c>
      <c r="W19">
        <v>0.1303</v>
      </c>
      <c r="X19">
        <f t="shared" ref="X19" si="12">((Y19-W19)/2)+W19</f>
        <v>0.1303</v>
      </c>
      <c r="Y19">
        <v>0.1303</v>
      </c>
      <c r="Z19">
        <f t="shared" ref="Z19" si="13">((AA19-Y19)/2)+Y19</f>
        <v>0.1303</v>
      </c>
      <c r="AA19">
        <v>0.1303</v>
      </c>
      <c r="AB19">
        <v>0.1303</v>
      </c>
    </row>
    <row r="21" spans="1:28" ht="14.25">
      <c r="A21" s="23" t="s">
        <v>73</v>
      </c>
      <c r="C21" s="126">
        <v>461.69728614536024</v>
      </c>
      <c r="D21">
        <f>((M21-C21)/10)+C21</f>
        <v>451.40548938056838</v>
      </c>
      <c r="E21">
        <f>((M21-D21)/9)+D21</f>
        <v>441.11369261577653</v>
      </c>
      <c r="F21">
        <f>((M21-E21)/8)+E21</f>
        <v>430.82189585098467</v>
      </c>
      <c r="G21">
        <f>((M21-F21)/7)+F21</f>
        <v>420.53009908619282</v>
      </c>
      <c r="H21">
        <f>((M21-G21)/6)+G21</f>
        <v>410.23830232140097</v>
      </c>
      <c r="I21">
        <f>((M21-H21)/5)+H21</f>
        <v>399.94650555660911</v>
      </c>
      <c r="J21">
        <f>((M21-I21)/4)+I21</f>
        <v>389.65470879181726</v>
      </c>
      <c r="K21">
        <f>((M21-J21)/3)+J21</f>
        <v>379.3629120270254</v>
      </c>
      <c r="L21">
        <f>((M21-K21)/2)+K21</f>
        <v>369.07111526223355</v>
      </c>
      <c r="M21" s="126">
        <v>358.77931849744169</v>
      </c>
      <c r="N21">
        <f>((W21-M21)/10)+M21</f>
        <v>354.20538664769754</v>
      </c>
      <c r="O21">
        <f>((W21-N21)/9)+N21</f>
        <v>349.63145479795338</v>
      </c>
      <c r="P21">
        <f>((W21-O21)/8)+O21</f>
        <v>345.05752294820923</v>
      </c>
      <c r="Q21">
        <f>((W21-P21)/7)+P21</f>
        <v>340.48359109846507</v>
      </c>
      <c r="R21">
        <f>((W21-Q21)/6)+Q21</f>
        <v>335.90965924872091</v>
      </c>
      <c r="S21">
        <f>((W21-R21)/5)+R21</f>
        <v>331.33572739897676</v>
      </c>
      <c r="T21">
        <f>((W21-S21)/4)+S21</f>
        <v>326.7617955492326</v>
      </c>
      <c r="U21">
        <f>((W21-T21)/3)+T21</f>
        <v>322.18786369948839</v>
      </c>
      <c r="V21">
        <f>((W21-U21)/2)+U21</f>
        <v>317.61393184974418</v>
      </c>
      <c r="W21">
        <v>313.04000000000002</v>
      </c>
      <c r="X21">
        <f t="shared" ref="X21" si="14">((Y21-W21)/2)+W21</f>
        <v>313.04000000000002</v>
      </c>
      <c r="Y21">
        <v>313.04000000000002</v>
      </c>
      <c r="Z21">
        <f t="shared" ref="Z21" si="15">((AA21-Y21)/2)+Y21</f>
        <v>313.04000000000002</v>
      </c>
      <c r="AA21">
        <v>313.04000000000002</v>
      </c>
      <c r="AB21">
        <v>313.04000000000002</v>
      </c>
    </row>
    <row r="22" spans="1:28">
      <c r="A22" s="26" t="s">
        <v>116</v>
      </c>
      <c r="C22" s="127">
        <v>21.4</v>
      </c>
      <c r="D22" s="127">
        <v>21.4</v>
      </c>
      <c r="E22" s="127">
        <v>21.4</v>
      </c>
      <c r="F22" s="127">
        <v>21.4</v>
      </c>
      <c r="G22" s="127">
        <v>21.4</v>
      </c>
      <c r="H22" s="127">
        <v>21.4</v>
      </c>
      <c r="I22" s="127">
        <v>21.4</v>
      </c>
      <c r="J22" s="127">
        <v>21.4</v>
      </c>
      <c r="K22" s="127">
        <v>21.4</v>
      </c>
      <c r="L22" s="127">
        <v>21.4</v>
      </c>
      <c r="M22" s="127">
        <v>21.4</v>
      </c>
      <c r="N22" s="127">
        <v>21.4</v>
      </c>
      <c r="O22" s="127">
        <v>21.4</v>
      </c>
      <c r="P22" s="127">
        <v>21.4</v>
      </c>
      <c r="Q22" s="127">
        <v>21.4</v>
      </c>
      <c r="R22" s="127">
        <v>21.4</v>
      </c>
      <c r="S22" s="127">
        <v>21.4</v>
      </c>
      <c r="T22" s="127">
        <v>21.4</v>
      </c>
      <c r="U22" s="127">
        <v>21.4</v>
      </c>
      <c r="V22" s="127">
        <v>21.4</v>
      </c>
      <c r="W22" s="127">
        <v>21.4</v>
      </c>
      <c r="X22" s="127">
        <v>21.4</v>
      </c>
      <c r="Y22" s="127">
        <v>21.4</v>
      </c>
      <c r="Z22" s="127">
        <v>21.4</v>
      </c>
      <c r="AA22" s="127">
        <v>21.4</v>
      </c>
      <c r="AB22" s="127">
        <v>21.4</v>
      </c>
    </row>
    <row r="24" spans="1:28">
      <c r="A24" t="s">
        <v>72</v>
      </c>
    </row>
    <row r="25" spans="1:28">
      <c r="A25" t="s">
        <v>60</v>
      </c>
      <c r="B25" t="s">
        <v>61</v>
      </c>
    </row>
    <row r="26" spans="1:28">
      <c r="G26" s="22"/>
    </row>
  </sheetData>
  <phoneticPr fontId="3" type="noConversion"/>
  <pageMargins left="0.75" right="0.75" top="1" bottom="1" header="0.5" footer="0.5"/>
  <headerFooter alignWithMargins="0"/>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Charts</vt:lpstr>
      </vt:variant>
      <vt:variant>
        <vt:i4>4</vt:i4>
      </vt:variant>
    </vt:vector>
  </HeadingPairs>
  <TitlesOfParts>
    <vt:vector size="24" baseType="lpstr">
      <vt:lpstr>Summary Table</vt:lpstr>
      <vt:lpstr>FT</vt:lpstr>
      <vt:lpstr>FT Users</vt:lpstr>
      <vt:lpstr>Forest Glen</vt:lpstr>
      <vt:lpstr>FG Users</vt:lpstr>
      <vt:lpstr>NC</vt:lpstr>
      <vt:lpstr>NC Users</vt:lpstr>
      <vt:lpstr>TB</vt:lpstr>
      <vt:lpstr>TB Users</vt:lpstr>
      <vt:lpstr>WH</vt:lpstr>
      <vt:lpstr>WH Users</vt:lpstr>
      <vt:lpstr>A-N Drive</vt:lpstr>
      <vt:lpstr>A-N Users</vt:lpstr>
      <vt:lpstr>VRE</vt:lpstr>
      <vt:lpstr>VRE Users</vt:lpstr>
      <vt:lpstr>Assumptions</vt:lpstr>
      <vt:lpstr>Mode Operating Assumptions</vt:lpstr>
      <vt:lpstr>Price Assumptions</vt:lpstr>
      <vt:lpstr>Emissions Assumptions</vt:lpstr>
      <vt:lpstr>Sheet1</vt:lpstr>
      <vt:lpstr>FG Current</vt:lpstr>
      <vt:lpstr>FG Discount 3</vt:lpstr>
      <vt:lpstr>FG Discount 7</vt:lpstr>
      <vt:lpstr>FG Graph</vt:lpstr>
    </vt:vector>
  </TitlesOfParts>
  <Company>MWCOG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mbansal</dc:creator>
  <cp:lastModifiedBy>Eric Ross Randall</cp:lastModifiedBy>
  <cp:lastPrinted>2011-10-28T13:52:45Z</cp:lastPrinted>
  <dcterms:created xsi:type="dcterms:W3CDTF">2009-08-12T14:10:49Z</dcterms:created>
  <dcterms:modified xsi:type="dcterms:W3CDTF">2011-10-28T17:28:44Z</dcterms:modified>
</cp:coreProperties>
</file>