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ThisWorkbook"/>
  <bookViews>
    <workbookView xWindow="-15" yWindow="-15" windowWidth="15480" windowHeight="5715" tabRatio="643"/>
  </bookViews>
  <sheets>
    <sheet name="Information" sheetId="21" r:id="rId1"/>
    <sheet name="Dashboard" sheetId="16" r:id="rId2"/>
    <sheet name="Rate Lookup" sheetId="19" r:id="rId3"/>
    <sheet name="Output Sys. Avg. Rates" sheetId="22" r:id="rId4"/>
    <sheet name="Non-Baseload Output Rates" sheetId="23" r:id="rId5"/>
    <sheet name="Rate Reference" sheetId="24" r:id="rId6"/>
    <sheet name="How to Update Values" sheetId="25" r:id="rId7"/>
    <sheet name="Data" sheetId="26" r:id="rId8"/>
  </sheets>
  <externalReferences>
    <externalReference r:id="rId9"/>
  </externalReferences>
  <definedNames>
    <definedName name="_xlnm._FilterDatabase" localSheetId="2" hidden="1">'Rate Lookup'!$I$64:$M$76</definedName>
    <definedName name="Blue">Dashboard!$L$52:$AA$56</definedName>
    <definedName name="Calculation">'Rate Reference'!$A$51</definedName>
    <definedName name="Calculations">'Rate Reference'!$A$51:$B$51</definedName>
    <definedName name="Carbon_Dioxide">Dashboard!$D$33</definedName>
    <definedName name="CO">Dashboard!$D$33</definedName>
    <definedName name="details">'Rate Lookup'!$U$3:$U$5</definedName>
    <definedName name="ElectricitySavingsUnit">'Rate Lookup'!$I$113:$I$114</definedName>
    <definedName name="EmissionsReductionRateType">'Rate Lookup'!$I$116:$I$117</definedName>
    <definedName name="EnergySavingsUnit">'Rate Lookup'!$I$113:$I$114</definedName>
    <definedName name="EnergyType">'Rate Lookup'!$B$14:$B$19</definedName>
    <definedName name="hlkjhlk">(OFFSET(#REF!,#REF!-1,0,#REF!-#REF!+1,1))</definedName>
    <definedName name="Nitrogen_Oxide">Dashboard!$C$33:$C$34</definedName>
    <definedName name="Nitrogen_Oxides">Dashboard!$C$33:$C$34</definedName>
    <definedName name="Non_Baseload_Average">Dashboard!$E$43:$E$49</definedName>
    <definedName name="Sulfer_Dioxide">Dashboard!$E$33</definedName>
    <definedName name="System_Average">Dashboard!$F$43:$F$49</definedName>
    <definedName name="Time_Matched_Marginal">Dashboard!$C$36:$C$41</definedName>
    <definedName name="Wind">Dashboard!$C$36:$C$41</definedName>
  </definedNames>
  <calcPr calcId="125725"/>
</workbook>
</file>

<file path=xl/calcChain.xml><?xml version="1.0" encoding="utf-8"?>
<calcChain xmlns="http://schemas.openxmlformats.org/spreadsheetml/2006/main">
  <c r="J95" i="19"/>
  <c r="C38" l="1"/>
  <c r="D38"/>
  <c r="C34"/>
  <c r="C35"/>
  <c r="C36"/>
  <c r="C37"/>
  <c r="E5"/>
  <c r="E6"/>
  <c r="C6" s="1"/>
  <c r="D6" s="1"/>
  <c r="E7"/>
  <c r="C7" s="1"/>
  <c r="D7" s="1"/>
  <c r="E8"/>
  <c r="C8" s="1"/>
  <c r="D8" s="1"/>
  <c r="E9"/>
  <c r="C9" s="1"/>
  <c r="D9" s="1"/>
  <c r="E14"/>
  <c r="E19" s="1"/>
  <c r="E15"/>
  <c r="C15" s="1"/>
  <c r="D15" s="1"/>
  <c r="E16"/>
  <c r="C16" s="1"/>
  <c r="D16" s="1"/>
  <c r="E17"/>
  <c r="C17" s="1"/>
  <c r="D17" s="1"/>
  <c r="E18"/>
  <c r="C18" s="1"/>
  <c r="D18" s="1"/>
  <c r="E24"/>
  <c r="E29" s="1"/>
  <c r="E25"/>
  <c r="C25" s="1"/>
  <c r="D25" s="1"/>
  <c r="E26"/>
  <c r="C26" s="1"/>
  <c r="D26" s="1"/>
  <c r="E27"/>
  <c r="C27" s="1"/>
  <c r="D27" s="1"/>
  <c r="E28"/>
  <c r="C28" s="1"/>
  <c r="D28" s="1"/>
  <c r="E38"/>
  <c r="C5"/>
  <c r="D5" s="1"/>
  <c r="C14"/>
  <c r="D14"/>
  <c r="C33"/>
  <c r="D33" s="1"/>
  <c r="L15" i="16"/>
  <c r="L12"/>
  <c r="L11"/>
  <c r="P12"/>
  <c r="P15"/>
  <c r="Q15"/>
  <c r="U15"/>
  <c r="Y56"/>
  <c r="X15" s="1"/>
  <c r="X56"/>
  <c r="W15" s="1"/>
  <c r="S53"/>
  <c r="R12" s="1"/>
  <c r="R53"/>
  <c r="Q12" s="1"/>
  <c r="O56"/>
  <c r="O15" s="1"/>
  <c r="O53"/>
  <c r="O12" s="1"/>
  <c r="W56"/>
  <c r="V15" s="1"/>
  <c r="T56"/>
  <c r="S15" s="1"/>
  <c r="S56"/>
  <c r="R15"/>
  <c r="J34" i="19"/>
  <c r="K37" s="1"/>
  <c r="S39" i="24"/>
  <c r="S38"/>
  <c r="S37"/>
  <c r="S36"/>
  <c r="S35"/>
  <c r="S34"/>
  <c r="S33"/>
  <c r="S30"/>
  <c r="S29"/>
  <c r="S28"/>
  <c r="S27"/>
  <c r="S26"/>
  <c r="S25"/>
  <c r="S24"/>
  <c r="S21"/>
  <c r="S20"/>
  <c r="S19"/>
  <c r="S18"/>
  <c r="S17"/>
  <c r="S16"/>
  <c r="S15"/>
  <c r="K21"/>
  <c r="K20"/>
  <c r="K19"/>
  <c r="K18"/>
  <c r="K17"/>
  <c r="K16"/>
  <c r="K15"/>
  <c r="K11"/>
  <c r="K10"/>
  <c r="K9"/>
  <c r="K8"/>
  <c r="K7"/>
  <c r="K6"/>
  <c r="K5"/>
  <c r="K4"/>
  <c r="D37" i="19"/>
  <c r="D36"/>
  <c r="D35"/>
  <c r="D34"/>
  <c r="C120"/>
  <c r="C119"/>
  <c r="E119" s="1"/>
  <c r="C118"/>
  <c r="C117"/>
  <c r="E117" s="1"/>
  <c r="C116"/>
  <c r="C115"/>
  <c r="E115" s="1"/>
  <c r="C114"/>
  <c r="C110"/>
  <c r="E110" s="1"/>
  <c r="C109"/>
  <c r="D109" s="1"/>
  <c r="C108"/>
  <c r="D108" s="1"/>
  <c r="C107"/>
  <c r="D107" s="1"/>
  <c r="C106"/>
  <c r="E106" s="1"/>
  <c r="C105"/>
  <c r="D105" s="1"/>
  <c r="C104"/>
  <c r="D104" s="1"/>
  <c r="C100"/>
  <c r="D100" s="1"/>
  <c r="C99"/>
  <c r="E99" s="1"/>
  <c r="C98"/>
  <c r="D98" s="1"/>
  <c r="C97"/>
  <c r="D97" s="1"/>
  <c r="C96"/>
  <c r="D96" s="1"/>
  <c r="C95"/>
  <c r="E95" s="1"/>
  <c r="C94"/>
  <c r="D94" s="1"/>
  <c r="C90"/>
  <c r="D90" s="1"/>
  <c r="C89"/>
  <c r="D89" s="1"/>
  <c r="C88"/>
  <c r="E88" s="1"/>
  <c r="C87"/>
  <c r="D87" s="1"/>
  <c r="C86"/>
  <c r="D86" s="1"/>
  <c r="C85"/>
  <c r="D85" s="1"/>
  <c r="C84"/>
  <c r="E84" s="1"/>
  <c r="C79"/>
  <c r="D79" s="1"/>
  <c r="C78"/>
  <c r="D78" s="1"/>
  <c r="C77"/>
  <c r="D77" s="1"/>
  <c r="C76"/>
  <c r="E76" s="1"/>
  <c r="C75"/>
  <c r="D75" s="1"/>
  <c r="C74"/>
  <c r="D74" s="1"/>
  <c r="C73"/>
  <c r="D73" s="1"/>
  <c r="C69"/>
  <c r="E69" s="1"/>
  <c r="C68"/>
  <c r="D68" s="1"/>
  <c r="C67"/>
  <c r="E67" s="1"/>
  <c r="C66"/>
  <c r="C65"/>
  <c r="D65" s="1"/>
  <c r="C64"/>
  <c r="D64" s="1"/>
  <c r="C63"/>
  <c r="D63" s="1"/>
  <c r="C59"/>
  <c r="C58"/>
  <c r="E58" s="1"/>
  <c r="C57"/>
  <c r="D57" s="1"/>
  <c r="C56"/>
  <c r="E56" s="1"/>
  <c r="C55"/>
  <c r="C54"/>
  <c r="D54" s="1"/>
  <c r="C53"/>
  <c r="C49"/>
  <c r="D49" s="1"/>
  <c r="C48"/>
  <c r="E48" s="1"/>
  <c r="C47"/>
  <c r="C46"/>
  <c r="E46" s="1"/>
  <c r="C45"/>
  <c r="E45" s="1"/>
  <c r="C44"/>
  <c r="D44" s="1"/>
  <c r="C43"/>
  <c r="D120"/>
  <c r="D118"/>
  <c r="D116"/>
  <c r="D114"/>
  <c r="E108"/>
  <c r="E104"/>
  <c r="E97"/>
  <c r="E90"/>
  <c r="E86"/>
  <c r="E78"/>
  <c r="E74"/>
  <c r="D67"/>
  <c r="D66"/>
  <c r="E65"/>
  <c r="E63"/>
  <c r="D59"/>
  <c r="D58"/>
  <c r="D56"/>
  <c r="D55"/>
  <c r="D53"/>
  <c r="E49"/>
  <c r="D48"/>
  <c r="E47"/>
  <c r="D46"/>
  <c r="E43"/>
  <c r="J102"/>
  <c r="K104" s="1"/>
  <c r="J72"/>
  <c r="K74" s="1"/>
  <c r="J41"/>
  <c r="J12"/>
  <c r="G15" i="16"/>
  <c r="P39" i="24"/>
  <c r="P38"/>
  <c r="Q38" s="1"/>
  <c r="P30"/>
  <c r="Q30" s="1"/>
  <c r="P29"/>
  <c r="Q29" s="1"/>
  <c r="P21"/>
  <c r="P20"/>
  <c r="P10"/>
  <c r="P9"/>
  <c r="H39"/>
  <c r="H38"/>
  <c r="I38" s="1"/>
  <c r="H30"/>
  <c r="I30" s="1"/>
  <c r="H29"/>
  <c r="I29" s="1"/>
  <c r="H21"/>
  <c r="H20"/>
  <c r="K36" i="19"/>
  <c r="K14"/>
  <c r="H9" i="24"/>
  <c r="H10"/>
  <c r="I10"/>
  <c r="O39"/>
  <c r="O38"/>
  <c r="O37"/>
  <c r="P37"/>
  <c r="Q37" s="1"/>
  <c r="O36"/>
  <c r="P36"/>
  <c r="Q36" s="1"/>
  <c r="O35"/>
  <c r="P35"/>
  <c r="Q35" s="1"/>
  <c r="O34"/>
  <c r="P34"/>
  <c r="Q34" s="1"/>
  <c r="O33"/>
  <c r="P33" s="1"/>
  <c r="O30"/>
  <c r="O29"/>
  <c r="O28"/>
  <c r="P28"/>
  <c r="Q28" s="1"/>
  <c r="O27"/>
  <c r="P27" s="1"/>
  <c r="O26"/>
  <c r="P26"/>
  <c r="Q26" s="1"/>
  <c r="O25"/>
  <c r="P25"/>
  <c r="Q25" s="1"/>
  <c r="O24"/>
  <c r="P24" s="1"/>
  <c r="Q24" s="1"/>
  <c r="O21"/>
  <c r="O20"/>
  <c r="O19"/>
  <c r="P19"/>
  <c r="O18"/>
  <c r="P18"/>
  <c r="O17"/>
  <c r="P17"/>
  <c r="O16"/>
  <c r="P16"/>
  <c r="O15"/>
  <c r="P15" s="1"/>
  <c r="Q15"/>
  <c r="O10"/>
  <c r="O9"/>
  <c r="O8"/>
  <c r="P8"/>
  <c r="O7"/>
  <c r="P7" s="1"/>
  <c r="O6"/>
  <c r="P6"/>
  <c r="O5"/>
  <c r="P5"/>
  <c r="O4"/>
  <c r="P4" s="1"/>
  <c r="Q4"/>
  <c r="H75" i="23"/>
  <c r="Q39" i="24"/>
  <c r="Q33"/>
  <c r="I39"/>
  <c r="P8" i="16"/>
  <c r="P4"/>
  <c r="K42" i="19"/>
  <c r="K44"/>
  <c r="K103"/>
  <c r="K105"/>
  <c r="K73"/>
  <c r="S9" i="24"/>
  <c r="S8"/>
  <c r="S7"/>
  <c r="S6"/>
  <c r="S5"/>
  <c r="S4"/>
  <c r="S4" i="16"/>
  <c r="K15" i="19"/>
  <c r="K13"/>
  <c r="I196" i="23"/>
  <c r="I189"/>
  <c r="I182"/>
  <c r="I175"/>
  <c r="I168"/>
  <c r="I161"/>
  <c r="I154"/>
  <c r="I147"/>
  <c r="I140"/>
  <c r="I133"/>
  <c r="I126"/>
  <c r="I119"/>
  <c r="I112"/>
  <c r="I105"/>
  <c r="I98"/>
  <c r="I91"/>
  <c r="I84"/>
  <c r="I77"/>
  <c r="I70"/>
  <c r="I63"/>
  <c r="I56"/>
  <c r="I49"/>
  <c r="I42"/>
  <c r="I35"/>
  <c r="I27"/>
  <c r="I20"/>
  <c r="I13"/>
  <c r="I6"/>
  <c r="M196" i="22"/>
  <c r="M189"/>
  <c r="M182"/>
  <c r="M175"/>
  <c r="M168"/>
  <c r="M161"/>
  <c r="M154"/>
  <c r="M147"/>
  <c r="M140"/>
  <c r="M126"/>
  <c r="M119"/>
  <c r="M112"/>
  <c r="M105"/>
  <c r="M98"/>
  <c r="M91"/>
  <c r="M84"/>
  <c r="M77"/>
  <c r="M70"/>
  <c r="M63"/>
  <c r="M56"/>
  <c r="M49"/>
  <c r="M42"/>
  <c r="M35"/>
  <c r="M27"/>
  <c r="M13"/>
  <c r="M6"/>
  <c r="Q21" i="24"/>
  <c r="Q10"/>
  <c r="I21"/>
  <c r="I3" i="22"/>
  <c r="L4"/>
  <c r="E3" i="23"/>
  <c r="H4"/>
  <c r="I5"/>
  <c r="I195"/>
  <c r="J194"/>
  <c r="E192"/>
  <c r="H194"/>
  <c r="I197"/>
  <c r="I188"/>
  <c r="J187"/>
  <c r="E185"/>
  <c r="H187"/>
  <c r="I190"/>
  <c r="I181"/>
  <c r="J180"/>
  <c r="E178"/>
  <c r="H180"/>
  <c r="I183"/>
  <c r="I174"/>
  <c r="J173"/>
  <c r="E171"/>
  <c r="H173"/>
  <c r="I167"/>
  <c r="J166"/>
  <c r="E164"/>
  <c r="H166"/>
  <c r="I169"/>
  <c r="I160"/>
  <c r="J159"/>
  <c r="E157"/>
  <c r="H159"/>
  <c r="I162"/>
  <c r="I153"/>
  <c r="J152"/>
  <c r="E150"/>
  <c r="H152"/>
  <c r="I155"/>
  <c r="I146"/>
  <c r="J145"/>
  <c r="E143"/>
  <c r="H145"/>
  <c r="I148"/>
  <c r="I139"/>
  <c r="J138"/>
  <c r="E136"/>
  <c r="H138"/>
  <c r="I141"/>
  <c r="I132"/>
  <c r="J131"/>
  <c r="E129"/>
  <c r="H131"/>
  <c r="I134"/>
  <c r="I125"/>
  <c r="J124"/>
  <c r="E122"/>
  <c r="H124"/>
  <c r="I127"/>
  <c r="I118"/>
  <c r="J117"/>
  <c r="E115"/>
  <c r="H117"/>
  <c r="I120"/>
  <c r="I111"/>
  <c r="J110"/>
  <c r="E108"/>
  <c r="H110"/>
  <c r="I113"/>
  <c r="I104"/>
  <c r="J103"/>
  <c r="E101"/>
  <c r="H103"/>
  <c r="I106"/>
  <c r="I97"/>
  <c r="J96"/>
  <c r="E94"/>
  <c r="H96"/>
  <c r="I99"/>
  <c r="I90"/>
  <c r="J89"/>
  <c r="E87"/>
  <c r="H89"/>
  <c r="I92"/>
  <c r="J82"/>
  <c r="E80"/>
  <c r="H82"/>
  <c r="I83"/>
  <c r="I85"/>
  <c r="J75"/>
  <c r="E73"/>
  <c r="I76"/>
  <c r="I78"/>
  <c r="J68"/>
  <c r="E66"/>
  <c r="H68"/>
  <c r="I69"/>
  <c r="I71"/>
  <c r="J61"/>
  <c r="E59"/>
  <c r="H61"/>
  <c r="I62"/>
  <c r="I64"/>
  <c r="J54"/>
  <c r="E52"/>
  <c r="H54"/>
  <c r="I55"/>
  <c r="I57"/>
  <c r="J47"/>
  <c r="E45"/>
  <c r="H47"/>
  <c r="I48"/>
  <c r="I50"/>
  <c r="J40"/>
  <c r="E38"/>
  <c r="H40"/>
  <c r="I41"/>
  <c r="I43"/>
  <c r="J33"/>
  <c r="E31"/>
  <c r="H33"/>
  <c r="I34"/>
  <c r="I36"/>
  <c r="J25"/>
  <c r="E24"/>
  <c r="H25"/>
  <c r="I26"/>
  <c r="I28"/>
  <c r="J18"/>
  <c r="E17"/>
  <c r="H18"/>
  <c r="I19"/>
  <c r="I21"/>
  <c r="J11"/>
  <c r="E10"/>
  <c r="H11"/>
  <c r="I12"/>
  <c r="I14"/>
  <c r="J4"/>
  <c r="I7"/>
  <c r="M195" i="22"/>
  <c r="N194"/>
  <c r="I192"/>
  <c r="M188"/>
  <c r="N187"/>
  <c r="I185"/>
  <c r="M181"/>
  <c r="N180"/>
  <c r="I178"/>
  <c r="M174"/>
  <c r="N173"/>
  <c r="I171"/>
  <c r="L173"/>
  <c r="M167"/>
  <c r="N166"/>
  <c r="I164"/>
  <c r="M160"/>
  <c r="N159"/>
  <c r="I157"/>
  <c r="M153"/>
  <c r="N152"/>
  <c r="I150"/>
  <c r="L152"/>
  <c r="M146"/>
  <c r="N145"/>
  <c r="I143"/>
  <c r="L145"/>
  <c r="M139"/>
  <c r="N138"/>
  <c r="I136"/>
  <c r="L138"/>
  <c r="M132"/>
  <c r="N131"/>
  <c r="I129"/>
  <c r="L131"/>
  <c r="M133"/>
  <c r="M125"/>
  <c r="N124"/>
  <c r="I122"/>
  <c r="L124"/>
  <c r="M118"/>
  <c r="N117"/>
  <c r="I115"/>
  <c r="M111"/>
  <c r="N110"/>
  <c r="I108"/>
  <c r="L110"/>
  <c r="M104"/>
  <c r="N103"/>
  <c r="I101"/>
  <c r="M97"/>
  <c r="N96"/>
  <c r="I94"/>
  <c r="L96"/>
  <c r="M90"/>
  <c r="N89"/>
  <c r="I87"/>
  <c r="L89"/>
  <c r="M92"/>
  <c r="M83"/>
  <c r="N82"/>
  <c r="I80"/>
  <c r="M76"/>
  <c r="N75"/>
  <c r="I73"/>
  <c r="L75"/>
  <c r="M69"/>
  <c r="N68"/>
  <c r="I66"/>
  <c r="M62"/>
  <c r="N61"/>
  <c r="I59"/>
  <c r="L61"/>
  <c r="M55"/>
  <c r="N54"/>
  <c r="I52"/>
  <c r="M48"/>
  <c r="N47"/>
  <c r="I45"/>
  <c r="L47"/>
  <c r="M50"/>
  <c r="M41"/>
  <c r="N40"/>
  <c r="I38"/>
  <c r="L40"/>
  <c r="M43"/>
  <c r="M34"/>
  <c r="N33"/>
  <c r="I31"/>
  <c r="L33"/>
  <c r="M36"/>
  <c r="M26"/>
  <c r="N25"/>
  <c r="I24"/>
  <c r="L25"/>
  <c r="M28"/>
  <c r="I17"/>
  <c r="M21"/>
  <c r="M19"/>
  <c r="N18"/>
  <c r="M12"/>
  <c r="N11"/>
  <c r="I10"/>
  <c r="L11"/>
  <c r="M14"/>
  <c r="M5"/>
  <c r="M7"/>
  <c r="N4"/>
  <c r="K75" i="19"/>
  <c r="K43"/>
  <c r="L102"/>
  <c r="L72"/>
  <c r="L41"/>
  <c r="L12"/>
  <c r="K6"/>
  <c r="K98"/>
  <c r="K97"/>
  <c r="L194" i="22"/>
  <c r="M197"/>
  <c r="L180"/>
  <c r="M183"/>
  <c r="M176"/>
  <c r="L166"/>
  <c r="M169"/>
  <c r="M170" s="1"/>
  <c r="M155"/>
  <c r="M148"/>
  <c r="M149" s="1"/>
  <c r="N147" s="1"/>
  <c r="L187"/>
  <c r="M190"/>
  <c r="L159"/>
  <c r="M162"/>
  <c r="M141"/>
  <c r="M142"/>
  <c r="M127"/>
  <c r="L117"/>
  <c r="M120"/>
  <c r="M113"/>
  <c r="M114" s="1"/>
  <c r="L103"/>
  <c r="M106"/>
  <c r="M99"/>
  <c r="L82"/>
  <c r="M85"/>
  <c r="M78"/>
  <c r="M79" s="1"/>
  <c r="L68"/>
  <c r="M71"/>
  <c r="M72" s="1"/>
  <c r="M64"/>
  <c r="L54"/>
  <c r="M57"/>
  <c r="M134"/>
  <c r="I176" i="23"/>
  <c r="I128"/>
  <c r="J126" s="1"/>
  <c r="Q8" i="24"/>
  <c r="Q19"/>
  <c r="K19" i="16"/>
  <c r="K35" i="19"/>
  <c r="K96"/>
  <c r="I4" i="24"/>
  <c r="I65" i="23"/>
  <c r="J62" s="1"/>
  <c r="Q7" i="24"/>
  <c r="Q18"/>
  <c r="Q20"/>
  <c r="Q9"/>
  <c r="I20"/>
  <c r="M58" i="22"/>
  <c r="N56" s="1"/>
  <c r="K66" i="19"/>
  <c r="Q17" i="24"/>
  <c r="I9"/>
  <c r="Q6"/>
  <c r="I198" i="23"/>
  <c r="J195" s="1"/>
  <c r="I58"/>
  <c r="J55" s="1"/>
  <c r="H8" i="24"/>
  <c r="I8"/>
  <c r="H28"/>
  <c r="I28" s="1"/>
  <c r="I15"/>
  <c r="H19"/>
  <c r="I19"/>
  <c r="H35"/>
  <c r="I35"/>
  <c r="H37"/>
  <c r="I37"/>
  <c r="H5"/>
  <c r="H6"/>
  <c r="I6"/>
  <c r="I29" i="23"/>
  <c r="J27" s="1"/>
  <c r="H26" i="24"/>
  <c r="I26" s="1"/>
  <c r="I18"/>
  <c r="H25"/>
  <c r="H17"/>
  <c r="I17"/>
  <c r="I7"/>
  <c r="L18" i="22"/>
  <c r="M20"/>
  <c r="D43" i="19"/>
  <c r="D45"/>
  <c r="D47"/>
  <c r="E53"/>
  <c r="E55"/>
  <c r="E57"/>
  <c r="E59"/>
  <c r="E64"/>
  <c r="E66"/>
  <c r="E68"/>
  <c r="E73"/>
  <c r="E75"/>
  <c r="E77"/>
  <c r="E79"/>
  <c r="E85"/>
  <c r="E87"/>
  <c r="E89"/>
  <c r="E94"/>
  <c r="E96"/>
  <c r="E98"/>
  <c r="E100"/>
  <c r="E105"/>
  <c r="E107"/>
  <c r="E109"/>
  <c r="E114"/>
  <c r="E116"/>
  <c r="E118"/>
  <c r="E120"/>
  <c r="K67"/>
  <c r="I16" i="24"/>
  <c r="AC14"/>
  <c r="AD14" s="1"/>
  <c r="Q16"/>
  <c r="Q5"/>
  <c r="Q11"/>
  <c r="I11"/>
  <c r="I5"/>
  <c r="AC5"/>
  <c r="W14"/>
  <c r="X14" s="1"/>
  <c r="Y14" s="1"/>
  <c r="W5"/>
  <c r="M15" i="22"/>
  <c r="N12" s="1"/>
  <c r="M198"/>
  <c r="N196" s="1"/>
  <c r="M8"/>
  <c r="N6" s="1"/>
  <c r="I107" i="23"/>
  <c r="J104" s="1"/>
  <c r="J125"/>
  <c r="M51" i="22"/>
  <c r="N49" s="1"/>
  <c r="M163"/>
  <c r="N161" s="1"/>
  <c r="I142" i="23"/>
  <c r="J139" s="1"/>
  <c r="I177"/>
  <c r="J175" s="1"/>
  <c r="I191"/>
  <c r="I8"/>
  <c r="J6" s="1"/>
  <c r="M29" i="22"/>
  <c r="M44"/>
  <c r="N42" s="1"/>
  <c r="N44" s="1"/>
  <c r="M177"/>
  <c r="N175" s="1"/>
  <c r="I135" i="23"/>
  <c r="J132" s="1"/>
  <c r="N51" i="22"/>
  <c r="O51" s="1"/>
  <c r="N160"/>
  <c r="J188" i="23"/>
  <c r="J189"/>
  <c r="J191" s="1"/>
  <c r="K191" s="1"/>
  <c r="N27" i="22"/>
  <c r="N29" s="1"/>
  <c r="O29" s="1"/>
  <c r="N26"/>
  <c r="N55"/>
  <c r="N58" s="1"/>
  <c r="O58" s="1"/>
  <c r="J196" i="23"/>
  <c r="M191" i="22"/>
  <c r="N188" s="1"/>
  <c r="J63" i="23"/>
  <c r="I51"/>
  <c r="J49" s="1"/>
  <c r="J140"/>
  <c r="J142" s="1"/>
  <c r="K142" s="1"/>
  <c r="I72"/>
  <c r="J70" s="1"/>
  <c r="H16" i="24"/>
  <c r="J69" i="23"/>
  <c r="H34" i="24"/>
  <c r="I34" s="1"/>
  <c r="N140" i="22"/>
  <c r="N142" s="1"/>
  <c r="N139"/>
  <c r="I25" i="24"/>
  <c r="N41" i="22" l="1"/>
  <c r="I22" i="23"/>
  <c r="I37"/>
  <c r="I86"/>
  <c r="P22" i="24"/>
  <c r="C24" i="19"/>
  <c r="D10"/>
  <c r="J84" i="23"/>
  <c r="J86" s="1"/>
  <c r="K86" s="1"/>
  <c r="J83"/>
  <c r="N167" i="22"/>
  <c r="N168"/>
  <c r="N170" s="1"/>
  <c r="O170" s="1"/>
  <c r="I44" i="23"/>
  <c r="I79"/>
  <c r="G34" i="24"/>
  <c r="J133" i="23"/>
  <c r="N5" i="22"/>
  <c r="J135" i="23"/>
  <c r="K135" s="1"/>
  <c r="M37" i="22"/>
  <c r="N34" s="1"/>
  <c r="M93"/>
  <c r="N90" s="1"/>
  <c r="M100"/>
  <c r="N98" s="1"/>
  <c r="N100" s="1"/>
  <c r="M121"/>
  <c r="N118" s="1"/>
  <c r="M128"/>
  <c r="M184"/>
  <c r="I93" i="23"/>
  <c r="I121"/>
  <c r="I149"/>
  <c r="J146" s="1"/>
  <c r="I163"/>
  <c r="J161" s="1"/>
  <c r="I184"/>
  <c r="J182" s="1"/>
  <c r="M156" i="22"/>
  <c r="I100" i="23"/>
  <c r="I114"/>
  <c r="I156"/>
  <c r="I170"/>
  <c r="Q40" i="24"/>
  <c r="R40" s="1"/>
  <c r="S40" s="1"/>
  <c r="N35" i="22"/>
  <c r="N37" s="1"/>
  <c r="N91"/>
  <c r="N119"/>
  <c r="J77" i="23"/>
  <c r="J79" s="1"/>
  <c r="K79" s="1"/>
  <c r="J76"/>
  <c r="O142" i="22"/>
  <c r="G37" i="24"/>
  <c r="O44" i="22"/>
  <c r="G16" i="24"/>
  <c r="N112" i="22"/>
  <c r="N111"/>
  <c r="N97"/>
  <c r="N126"/>
  <c r="N128" s="1"/>
  <c r="O128" s="1"/>
  <c r="N125"/>
  <c r="N182"/>
  <c r="N181"/>
  <c r="J20" i="23"/>
  <c r="J19"/>
  <c r="J34"/>
  <c r="J35"/>
  <c r="J91"/>
  <c r="J90"/>
  <c r="J119"/>
  <c r="J121" s="1"/>
  <c r="K121" s="1"/>
  <c r="J118"/>
  <c r="N154" i="22"/>
  <c r="N153"/>
  <c r="J97" i="23"/>
  <c r="J98"/>
  <c r="J112"/>
  <c r="J111"/>
  <c r="J154"/>
  <c r="J153"/>
  <c r="J168"/>
  <c r="J167"/>
  <c r="J72"/>
  <c r="K72" s="1"/>
  <c r="N163" i="22"/>
  <c r="J128" i="23"/>
  <c r="K128" s="1"/>
  <c r="N8" i="22"/>
  <c r="G38" i="24"/>
  <c r="G33"/>
  <c r="H33" s="1"/>
  <c r="I33" s="1"/>
  <c r="J26" i="23"/>
  <c r="J29" s="1"/>
  <c r="K29" s="1"/>
  <c r="N13" i="22"/>
  <c r="J5" i="23"/>
  <c r="J8" s="1"/>
  <c r="K8" s="1"/>
  <c r="J174"/>
  <c r="J177" s="1"/>
  <c r="K177" s="1"/>
  <c r="N48" i="22"/>
  <c r="D119" i="19"/>
  <c r="D117"/>
  <c r="D115"/>
  <c r="D110"/>
  <c r="D106"/>
  <c r="D99"/>
  <c r="D95"/>
  <c r="D88"/>
  <c r="D84"/>
  <c r="D76"/>
  <c r="D69"/>
  <c r="E44"/>
  <c r="M22" i="22"/>
  <c r="G25" i="24"/>
  <c r="I15" i="23"/>
  <c r="E54" i="19"/>
  <c r="K38"/>
  <c r="L36" s="1"/>
  <c r="D19"/>
  <c r="C19"/>
  <c r="K99"/>
  <c r="E10"/>
  <c r="C10"/>
  <c r="K45"/>
  <c r="L43" s="1"/>
  <c r="Q22" i="24"/>
  <c r="R22" s="1"/>
  <c r="P40"/>
  <c r="J5" i="19"/>
  <c r="I22" i="24"/>
  <c r="J22" s="1"/>
  <c r="K22" s="1"/>
  <c r="K16" i="19"/>
  <c r="L14" s="1"/>
  <c r="N77" i="22"/>
  <c r="N79" s="1"/>
  <c r="N76"/>
  <c r="J37" i="23"/>
  <c r="K37" s="1"/>
  <c r="N146" i="22"/>
  <c r="N149" s="1"/>
  <c r="J198" i="23"/>
  <c r="K198" s="1"/>
  <c r="K76" i="19"/>
  <c r="L74" s="1"/>
  <c r="N114" i="22"/>
  <c r="J100" i="23"/>
  <c r="K100" s="1"/>
  <c r="N15" i="22"/>
  <c r="J65" i="23"/>
  <c r="K65" s="1"/>
  <c r="M65" i="22"/>
  <c r="N63" s="1"/>
  <c r="M86"/>
  <c r="N84" s="1"/>
  <c r="M107"/>
  <c r="N105" s="1"/>
  <c r="M135"/>
  <c r="N132" s="1"/>
  <c r="K106" i="19"/>
  <c r="L103" s="1"/>
  <c r="P11" i="24"/>
  <c r="S22"/>
  <c r="AE14"/>
  <c r="N20" i="22"/>
  <c r="N19"/>
  <c r="N69"/>
  <c r="N70"/>
  <c r="J42" i="23"/>
  <c r="J41"/>
  <c r="I27" i="24"/>
  <c r="N62" i="22"/>
  <c r="N104"/>
  <c r="J12" i="23"/>
  <c r="J13"/>
  <c r="L13" i="19"/>
  <c r="Q27" i="24"/>
  <c r="Q31" s="1"/>
  <c r="R31" s="1"/>
  <c r="P31"/>
  <c r="J48" i="23"/>
  <c r="J51" s="1"/>
  <c r="K51" s="1"/>
  <c r="N174" i="22"/>
  <c r="N177" s="1"/>
  <c r="N189"/>
  <c r="N191" s="1"/>
  <c r="J147" i="23"/>
  <c r="J149" s="1"/>
  <c r="K149" s="1"/>
  <c r="J105"/>
  <c r="J107" s="1"/>
  <c r="K107" s="1"/>
  <c r="L42" i="19"/>
  <c r="L45" s="1"/>
  <c r="J56" i="23"/>
  <c r="J58" s="1"/>
  <c r="K58" s="1"/>
  <c r="J160"/>
  <c r="J163" s="1"/>
  <c r="K163" s="1"/>
  <c r="N195" i="22"/>
  <c r="N198" s="1"/>
  <c r="J181" i="23"/>
  <c r="J184" s="1"/>
  <c r="K184" s="1"/>
  <c r="L35" i="19"/>
  <c r="L38" s="1"/>
  <c r="M38" s="1"/>
  <c r="C29" l="1"/>
  <c r="D24"/>
  <c r="D29" s="1"/>
  <c r="N133" i="22"/>
  <c r="N83"/>
  <c r="N135"/>
  <c r="N121"/>
  <c r="N93"/>
  <c r="J170" i="23"/>
  <c r="K170" s="1"/>
  <c r="J156"/>
  <c r="K156" s="1"/>
  <c r="J114"/>
  <c r="K114" s="1"/>
  <c r="N156" i="22"/>
  <c r="J93" i="23"/>
  <c r="K93" s="1"/>
  <c r="J22"/>
  <c r="K22" s="1"/>
  <c r="N184" i="22"/>
  <c r="N86"/>
  <c r="O86" s="1"/>
  <c r="O198"/>
  <c r="G39" i="24"/>
  <c r="O135" i="22"/>
  <c r="G28" i="24"/>
  <c r="G35"/>
  <c r="O15" i="22"/>
  <c r="G15" i="24"/>
  <c r="H15" s="1"/>
  <c r="O114" i="22"/>
  <c r="G36" i="24"/>
  <c r="H36" s="1"/>
  <c r="O79" i="22"/>
  <c r="G26" i="24"/>
  <c r="G18"/>
  <c r="H18" s="1"/>
  <c r="O100" i="22"/>
  <c r="N107"/>
  <c r="N65"/>
  <c r="O191"/>
  <c r="G30" i="24"/>
  <c r="O177" i="22"/>
  <c r="G10" i="24"/>
  <c r="O149" i="22"/>
  <c r="G9" i="24"/>
  <c r="O8" i="22"/>
  <c r="G4" i="24"/>
  <c r="H4" s="1"/>
  <c r="O163" i="22"/>
  <c r="G29" i="24"/>
  <c r="O156" i="22"/>
  <c r="G20" i="24"/>
  <c r="O184" i="22"/>
  <c r="G21" i="24"/>
  <c r="O121" i="22"/>
  <c r="G8" i="24"/>
  <c r="G19"/>
  <c r="O93" i="22"/>
  <c r="G7" i="24"/>
  <c r="H7" s="1"/>
  <c r="O37" i="22"/>
  <c r="G5" i="24"/>
  <c r="N72" i="22"/>
  <c r="L97" i="19"/>
  <c r="L99" s="1"/>
  <c r="L96"/>
  <c r="L73"/>
  <c r="K7"/>
  <c r="K8"/>
  <c r="V14" i="24"/>
  <c r="L16" i="19"/>
  <c r="L104"/>
  <c r="L106" s="1"/>
  <c r="L76"/>
  <c r="M76" s="1"/>
  <c r="J15" i="23"/>
  <c r="K15" s="1"/>
  <c r="J44"/>
  <c r="K44" s="1"/>
  <c r="N22" i="22"/>
  <c r="S31" i="24"/>
  <c r="F45"/>
  <c r="M99" i="19"/>
  <c r="V32" i="24"/>
  <c r="W32" s="1"/>
  <c r="AB23"/>
  <c r="AC23" s="1"/>
  <c r="AD23" s="1"/>
  <c r="G45"/>
  <c r="M45" i="19"/>
  <c r="AB14" i="24"/>
  <c r="M16" i="19"/>
  <c r="AB5" i="24"/>
  <c r="H22" l="1"/>
  <c r="O22" i="22"/>
  <c r="G24" i="24"/>
  <c r="H24" s="1"/>
  <c r="O72" i="22"/>
  <c r="G17" i="24"/>
  <c r="O107" i="22"/>
  <c r="G27" i="24"/>
  <c r="H27" s="1"/>
  <c r="H11"/>
  <c r="O65" i="22"/>
  <c r="G6" i="24"/>
  <c r="I36"/>
  <c r="I40" s="1"/>
  <c r="J40" s="1"/>
  <c r="K40" s="1"/>
  <c r="H40"/>
  <c r="X32"/>
  <c r="Y32"/>
  <c r="AB32"/>
  <c r="AC32" s="1"/>
  <c r="AD32" s="1"/>
  <c r="AE32" s="1"/>
  <c r="M106" i="19"/>
  <c r="K9"/>
  <c r="AE23" i="24"/>
  <c r="F46"/>
  <c r="J65" i="19"/>
  <c r="K68" s="1"/>
  <c r="K69" s="1"/>
  <c r="G46" i="24" l="1"/>
  <c r="I24"/>
  <c r="I31" s="1"/>
  <c r="J31" s="1"/>
  <c r="H31"/>
  <c r="L6" i="19"/>
  <c r="L7"/>
  <c r="L9" s="1"/>
  <c r="L66"/>
  <c r="L67"/>
  <c r="L69" s="1"/>
  <c r="K31" i="24" l="1"/>
  <c r="G44" s="1"/>
  <c r="F44"/>
  <c r="M9" i="19"/>
  <c r="V5" i="24"/>
  <c r="M69" i="19"/>
  <c r="V23" i="24"/>
  <c r="W23" s="1"/>
  <c r="Y23" l="1"/>
  <c r="G43" s="1"/>
  <c r="G47" s="1"/>
  <c r="O8" i="16" s="1"/>
  <c r="X23" i="24"/>
  <c r="F43" s="1"/>
  <c r="F47" s="1"/>
  <c r="O4" i="16" s="1"/>
</calcChain>
</file>

<file path=xl/sharedStrings.xml><?xml version="1.0" encoding="utf-8"?>
<sst xmlns="http://schemas.openxmlformats.org/spreadsheetml/2006/main" count="2037" uniqueCount="246">
  <si>
    <t>Ozone Season</t>
  </si>
  <si>
    <t>Wind</t>
  </si>
  <si>
    <t>PV</t>
  </si>
  <si>
    <t>Lighting</t>
  </si>
  <si>
    <t>LED</t>
  </si>
  <si>
    <t>HVAC</t>
  </si>
  <si>
    <t>Generic</t>
  </si>
  <si>
    <t>Type</t>
  </si>
  <si>
    <t>Metric Tons</t>
  </si>
  <si>
    <t>MWh</t>
  </si>
  <si>
    <t>kWh</t>
  </si>
  <si>
    <t>Tons</t>
  </si>
  <si>
    <t>Dashboard</t>
  </si>
  <si>
    <t>Annual Electricity Savings:</t>
  </si>
  <si>
    <t>Electricity Savings Unit:</t>
  </si>
  <si>
    <t>Energy Type:</t>
  </si>
  <si>
    <t>Pollutant:</t>
  </si>
  <si>
    <t>jking@mwcog.org</t>
  </si>
  <si>
    <t>UNIT CONVERSIONS:</t>
  </si>
  <si>
    <t>Daily Nox: Ozone Season</t>
  </si>
  <si>
    <t>Daily Nox: Annual</t>
  </si>
  <si>
    <t>Avoided Emissions Rate Unit:</t>
  </si>
  <si>
    <t>Lbs.</t>
  </si>
  <si>
    <t>Actual</t>
  </si>
  <si>
    <t>Pounds</t>
  </si>
  <si>
    <t>Tons/kWh</t>
  </si>
  <si>
    <t>Metric Tons/MWh</t>
  </si>
  <si>
    <t>-</t>
  </si>
  <si>
    <t>Daily CO2: Annual</t>
  </si>
  <si>
    <t>Inputs:</t>
  </si>
  <si>
    <t>Emission Rate with days, type  included</t>
  </si>
  <si>
    <t>Emission Rate with weight unit included</t>
  </si>
  <si>
    <t>Emission Rate with weight unit,  MWh/kWh  unit included</t>
  </si>
  <si>
    <t>Total Emissions, with # of kWh/Mwh included</t>
  </si>
  <si>
    <t>Output System Average</t>
  </si>
  <si>
    <t>Spreadsheet Dashboard Developed By Amy Sanders and Jeff King, Department of Environmental Programs, Metropolitan Washington Council of Governments</t>
  </si>
  <si>
    <t>Technical Assistance provided by Colin High, Resource Systems Group</t>
  </si>
  <si>
    <t>Draft Beta Test Version – June 2009</t>
  </si>
  <si>
    <t>Source of Emission Factors include:</t>
  </si>
  <si>
    <t>Direct Questions/Comments to:</t>
  </si>
  <si>
    <t>Jeffrey King</t>
  </si>
  <si>
    <t>202-962-3238</t>
  </si>
  <si>
    <t>General Instructions:</t>
  </si>
  <si>
    <t>Optional Input Rate</t>
  </si>
  <si>
    <t>CO2</t>
  </si>
  <si>
    <t>Region:</t>
  </si>
  <si>
    <t>DC</t>
  </si>
  <si>
    <t>Maryland</t>
  </si>
  <si>
    <t>RFC East</t>
  </si>
  <si>
    <t>Region/State:</t>
  </si>
  <si>
    <t>MD</t>
  </si>
  <si>
    <t>VA</t>
  </si>
  <si>
    <t>SRVC</t>
  </si>
  <si>
    <t>SERC</t>
  </si>
  <si>
    <t>SO2</t>
  </si>
  <si>
    <t>Season/Year?</t>
  </si>
  <si>
    <t>NOx</t>
  </si>
  <si>
    <t>Annual</t>
  </si>
  <si>
    <t>Given Rate (lb/MWh):</t>
  </si>
  <si>
    <t>Converted Rate (tons/kWh):</t>
  </si>
  <si>
    <t>per</t>
  </si>
  <si>
    <t>Non-baseload Rates</t>
  </si>
  <si>
    <t>RFC</t>
  </si>
  <si>
    <t>O3 Season Nox</t>
  </si>
  <si>
    <t>Annual Nox</t>
  </si>
  <si>
    <t>Annual CO2</t>
  </si>
  <si>
    <t>Annual SO2</t>
  </si>
  <si>
    <t>TMM</t>
  </si>
  <si>
    <t>Virginia</t>
  </si>
  <si>
    <t>Including Region</t>
  </si>
  <si>
    <t>Emission Rate:</t>
  </si>
  <si>
    <t>Output System Average Rate</t>
  </si>
  <si>
    <t>Non-Baseload Average Rate</t>
  </si>
  <si>
    <t>Time Period:</t>
  </si>
  <si>
    <t>Cell Value to Change:</t>
  </si>
  <si>
    <t>TMM Rates:</t>
  </si>
  <si>
    <t>Pollutant/Time Period:</t>
  </si>
  <si>
    <t>NOx Ozone Season:</t>
  </si>
  <si>
    <t>NOx Annual</t>
  </si>
  <si>
    <t>CO2 Annual</t>
  </si>
  <si>
    <t>SO2 Annual</t>
  </si>
  <si>
    <t>Output System Average Rates:</t>
  </si>
  <si>
    <t>Notes on how to replace rate values:</t>
  </si>
  <si>
    <t>Rate Type:</t>
  </si>
  <si>
    <t>Metric Tons/kWh</t>
  </si>
  <si>
    <t>Pounds/kWh</t>
  </si>
  <si>
    <t>Region</t>
  </si>
  <si>
    <t xml:space="preserve">Annual NOx: </t>
  </si>
  <si>
    <t xml:space="preserve">Annual CO2: </t>
  </si>
  <si>
    <t>Non-Baseload Rates:</t>
  </si>
  <si>
    <t>Rate Lookup</t>
  </si>
  <si>
    <t>C5</t>
  </si>
  <si>
    <t>C6</t>
  </si>
  <si>
    <t>C7</t>
  </si>
  <si>
    <t>C8</t>
  </si>
  <si>
    <t>C9</t>
  </si>
  <si>
    <t>C10</t>
  </si>
  <si>
    <t>C14</t>
  </si>
  <si>
    <t>C15</t>
  </si>
  <si>
    <t>C16</t>
  </si>
  <si>
    <t>C17</t>
  </si>
  <si>
    <t>C18</t>
  </si>
  <si>
    <t>C19</t>
  </si>
  <si>
    <t>C24</t>
  </si>
  <si>
    <t>C25</t>
  </si>
  <si>
    <t>C26</t>
  </si>
  <si>
    <t>C27</t>
  </si>
  <si>
    <t>C28</t>
  </si>
  <si>
    <t>C29</t>
  </si>
  <si>
    <t>C33</t>
  </si>
  <si>
    <t>C34</t>
  </si>
  <si>
    <t>C35</t>
  </si>
  <si>
    <t>C36</t>
  </si>
  <si>
    <t>C37</t>
  </si>
  <si>
    <t>C38</t>
  </si>
  <si>
    <t>Output Sys. Avg. Rates</t>
  </si>
  <si>
    <t>Sheet to Refer To:</t>
  </si>
  <si>
    <t>Non-Baseload Output Rates</t>
  </si>
  <si>
    <t>I38</t>
  </si>
  <si>
    <t>I10</t>
  </si>
  <si>
    <t>I66</t>
  </si>
  <si>
    <t>I94</t>
  </si>
  <si>
    <t>I122</t>
  </si>
  <si>
    <t>I150</t>
  </si>
  <si>
    <t>I178</t>
  </si>
  <si>
    <t>I31</t>
  </si>
  <si>
    <t>I59</t>
  </si>
  <si>
    <t>I52</t>
  </si>
  <si>
    <t>I73</t>
  </si>
  <si>
    <t>I115</t>
  </si>
  <si>
    <t>I136</t>
  </si>
  <si>
    <t>I3</t>
  </si>
  <si>
    <t>I87</t>
  </si>
  <si>
    <t>I143</t>
  </si>
  <si>
    <t>I171</t>
  </si>
  <si>
    <t>I17</t>
  </si>
  <si>
    <t>I45</t>
  </si>
  <si>
    <t>I101</t>
  </si>
  <si>
    <t>I129</t>
  </si>
  <si>
    <t>I157</t>
  </si>
  <si>
    <t>I185</t>
  </si>
  <si>
    <t>I24</t>
  </si>
  <si>
    <t>I80</t>
  </si>
  <si>
    <t>I108</t>
  </si>
  <si>
    <t>I164</t>
  </si>
  <si>
    <t>I192</t>
  </si>
  <si>
    <t>E3</t>
  </si>
  <si>
    <t>E31</t>
  </si>
  <si>
    <t>E59</t>
  </si>
  <si>
    <t>E87</t>
  </si>
  <si>
    <t>E115</t>
  </si>
  <si>
    <t>E143</t>
  </si>
  <si>
    <t>E171</t>
  </si>
  <si>
    <t>E10</t>
  </si>
  <si>
    <t>E38</t>
  </si>
  <si>
    <t>E66</t>
  </si>
  <si>
    <t>E94</t>
  </si>
  <si>
    <t>E122</t>
  </si>
  <si>
    <t>E150</t>
  </si>
  <si>
    <t>E178</t>
  </si>
  <si>
    <t>E17</t>
  </si>
  <si>
    <t>E45</t>
  </si>
  <si>
    <t>E73</t>
  </si>
  <si>
    <t>E101</t>
  </si>
  <si>
    <t>E129</t>
  </si>
  <si>
    <t>E157</t>
  </si>
  <si>
    <t>E185</t>
  </si>
  <si>
    <t>E24</t>
  </si>
  <si>
    <t>E152</t>
  </si>
  <si>
    <t>E280</t>
  </si>
  <si>
    <t>E408</t>
  </si>
  <si>
    <t>E536</t>
  </si>
  <si>
    <t>E664</t>
  </si>
  <si>
    <t>E792</t>
  </si>
  <si>
    <t>**The Sheet Non-Baseload Output Rates calculates the non-baseload average output rates in the same way that the TMM and Ouput System Average rates are calculated.</t>
  </si>
  <si>
    <t>Additional notes on how this spreadsheet works:</t>
  </si>
  <si>
    <t>**These rates are calculated and converted based on the preferred units that the user indicates on the dashboard, and listed on the sheet 'Rate Reference,' before being sent to the Dashboard's output cells.</t>
  </si>
  <si>
    <t>**The sheet 'Rate Lookup' is the spreadsheet for users to refer to in order to look up and input their own user-defined rate on the dashboard.</t>
  </si>
  <si>
    <t>Non-Baseload Average Rates:</t>
  </si>
  <si>
    <t>Avoided Emissions:</t>
  </si>
  <si>
    <t>Including Region:</t>
  </si>
  <si>
    <t>Including Pollutant:</t>
  </si>
  <si>
    <t>Including Time Period:</t>
  </si>
  <si>
    <t>Emissions:</t>
  </si>
  <si>
    <t>Time Matched Marginal Methodology Rate:</t>
  </si>
  <si>
    <t>Output System Average Rate:</t>
  </si>
  <si>
    <t>Non-Baseload Average Rate:</t>
  </si>
  <si>
    <t>User-Defined Rate</t>
  </si>
  <si>
    <t>Time Matched Marginal Rate</t>
  </si>
  <si>
    <t>Avoided Emissions Rate:</t>
  </si>
  <si>
    <t>Outputs:</t>
  </si>
  <si>
    <t>User-Defined Rate:</t>
  </si>
  <si>
    <t>Actual:</t>
  </si>
  <si>
    <t>Emission:</t>
  </si>
  <si>
    <t>Emission Rate Type Definitions:</t>
  </si>
  <si>
    <t>The Output System Average Emissions Rate is calculated by taking the average emission rate of all electric generating units (including all units on the grid - nuclear power plants, hydroelectric plants, other zero-emission sources and also fossil fuel-fired generation units) over a  year. This methodology will understate the emission reduction benefits of EERE technologies.</t>
  </si>
  <si>
    <t>Time Matched Methodology Developed by Resource Systems Group Calculator</t>
  </si>
  <si>
    <t>System-wide average and non-baseload average provided by EPA eGrid 2007 v 1.1</t>
  </si>
  <si>
    <t>Emission Factors will be updated periodically.</t>
  </si>
  <si>
    <t>**The sheet 'Rate Lookup' also calculates the Time-Matched Marginal (TMM) methodology rates and emissions, by changing units (weight units [tons/metric tons/pounds] and electric units [kWh/MWh]) one step at a time. This is hidden.</t>
  </si>
  <si>
    <t>**The sheet 'Ouput Sys. Avg Rates' calculates the Ouput System Average Rates in the same way that the TMM Rates are calculated.</t>
  </si>
  <si>
    <t>**Some of the cells referred to below are hidden. To unhide cell columns/rows, select surrounding columns/rows and right click "Unhide."</t>
  </si>
  <si>
    <t>N/A</t>
  </si>
  <si>
    <r>
      <t>Carbon</t>
    </r>
    <r>
      <rPr>
        <sz val="10"/>
        <color indexed="9"/>
        <rFont val="Arial"/>
        <family val="2"/>
      </rPr>
      <t>_</t>
    </r>
    <r>
      <rPr>
        <sz val="10"/>
        <rFont val="Arial"/>
        <family val="2"/>
      </rPr>
      <t>Dioxide</t>
    </r>
  </si>
  <si>
    <r>
      <t>Sulfer</t>
    </r>
    <r>
      <rPr>
        <sz val="10"/>
        <color indexed="9"/>
        <rFont val="Arial"/>
        <family val="2"/>
      </rPr>
      <t>_</t>
    </r>
    <r>
      <rPr>
        <sz val="10"/>
        <rFont val="Arial"/>
        <family val="2"/>
      </rPr>
      <t>Dioxide</t>
    </r>
  </si>
  <si>
    <t>The Time Matched Marginal Emissions Rate provides a more accurate estimate of a emission reductions from EERE programs and projects than the eGRID system averages because it includes seasonal emission changes and estimates average emission rates of the marginal units based on their incremental contribution to the load.</t>
  </si>
  <si>
    <t>The Non-Baseload Average Emissions Rate is calculated from the average emission rates of those generating units that have variable generation that follows the regional load. They do not include baseload units, such as nuclear power plants and some coal-fired units. Thus, the non-baseload emission rate is higher than the system average rate because it excludes zero-emission nuclear power units.</t>
  </si>
  <si>
    <t>**All new rates should be in Tons/kWh emitted (Can use dashboard to convert your number to these units if necessary).</t>
  </si>
  <si>
    <t>(Choose for Non-Baseload and System Average Rates Only)</t>
  </si>
  <si>
    <t>(Choose for Time Matched Marginal Rate Only)</t>
  </si>
  <si>
    <t>Time Matched Marginal</t>
  </si>
  <si>
    <t>System Average</t>
  </si>
  <si>
    <t>Non-Baseload Average</t>
  </si>
  <si>
    <t>NOx: Ozone Season</t>
  </si>
  <si>
    <r>
      <t>Nitrogen</t>
    </r>
    <r>
      <rPr>
        <sz val="10"/>
        <color indexed="9"/>
        <rFont val="Arial"/>
        <family val="2"/>
      </rPr>
      <t>_</t>
    </r>
    <r>
      <rPr>
        <sz val="10"/>
        <rFont val="Arial"/>
        <family val="2"/>
      </rPr>
      <t>Oxides</t>
    </r>
  </si>
  <si>
    <t>Time Matched Marginal Rates:</t>
  </si>
  <si>
    <t xml:space="preserve">Annual SO2: </t>
  </si>
  <si>
    <t>Annual SO2:</t>
  </si>
  <si>
    <t>Or, enter a user-defined emissions rate for the chosen pollutant. Refer to 'Rate Lookup' sheet to view possible input rates.</t>
  </si>
  <si>
    <t>Environmental Benefits including the avoided emissions rates and avoided emissions for the chosen methodology will be displayed for the chosen pollutant in black ouput cells.</t>
  </si>
  <si>
    <r>
      <t>Enter energy savings data into the Dashboard spreadsheet's</t>
    </r>
    <r>
      <rPr>
        <b/>
        <sz val="12"/>
        <rFont val="Cambria"/>
        <family val="1"/>
      </rPr>
      <t xml:space="preserve"> </t>
    </r>
    <r>
      <rPr>
        <sz val="12"/>
        <rFont val="Cambria"/>
        <family val="1"/>
      </rPr>
      <t>white input cells. Click on the white input cells to choose Units to output, Region, Measure Type, Pollutant and Time Period of emissions from a dropdown menu. (Note: Measure type emissions rates only vary for Time Matched Marginal Methodology, while Regions will only vary for the Non-Baseload and System Output Average Rates).</t>
    </r>
  </si>
  <si>
    <t>Dashboard'!$O$11</t>
  </si>
  <si>
    <t>is cool</t>
  </si>
  <si>
    <t>Kilowatt hours (kWh)</t>
  </si>
  <si>
    <t>Megawatt hours (MWh)</t>
  </si>
  <si>
    <t>Days per Ozone Season</t>
  </si>
  <si>
    <t xml:space="preserve">Sample Calculation Using Time Matched Marginal Rates: </t>
  </si>
  <si>
    <t>12,000 MWh</t>
  </si>
  <si>
    <t>(0.00000762 Tons/kWh SO2) * (1 kWh/1000MWh) =  0.00192571 Tons SO2/MWh</t>
  </si>
  <si>
    <t>(12,000 MWh) * (1 kWh/1000MWh) * (0.00000762 Tons/kWh SO2)  =  23.1084 Tons SO2</t>
  </si>
  <si>
    <t xml:space="preserve">Sample Calculation Using Average Rates: </t>
  </si>
  <si>
    <t>8,000 kWh</t>
  </si>
  <si>
    <t>Avoided Emissions Rate (from Table) = 0.00110327 Metric Tons CO2/kWh</t>
  </si>
  <si>
    <t xml:space="preserve">Avoided Emissions = (8,000 kWh) * (0.00110327 Metric Tons/kWh CO2)  =  8.82618 Metric Tons CO2  </t>
  </si>
  <si>
    <t>*</t>
  </si>
  <si>
    <t>Rate</t>
  </si>
  <si>
    <t>Calculations (Rates Taken from "Rate Lookup" Sheet):</t>
  </si>
  <si>
    <t>Emissions Rate:</t>
  </si>
  <si>
    <t>Sulfer_Dioxide</t>
  </si>
  <si>
    <t>Daily Sox: Annual</t>
  </si>
  <si>
    <t>tons</t>
  </si>
  <si>
    <t>Total Annual Avoided Emissions (tons per year) for 1000 MWh per year</t>
  </si>
  <si>
    <t>lbs/MWh</t>
  </si>
  <si>
    <t>Average Annual Avoided Emission Rates (lb/MWH)</t>
  </si>
  <si>
    <t>AC</t>
  </si>
  <si>
    <t>Data for MWCOG Calculator Revisions</t>
  </si>
</sst>
</file>

<file path=xl/styles.xml><?xml version="1.0" encoding="utf-8"?>
<styleSheet xmlns="http://schemas.openxmlformats.org/spreadsheetml/2006/main">
  <numFmts count="8">
    <numFmt numFmtId="44" formatCode="_(&quot;$&quot;* #,##0.00_);_(&quot;$&quot;* \(#,##0.00\);_(&quot;$&quot;* &quot;-&quot;??_);_(@_)"/>
    <numFmt numFmtId="43" formatCode="_(* #,##0.00_);_(* \(#,##0.00\);_(* &quot;-&quot;??_);_(@_)"/>
    <numFmt numFmtId="164" formatCode="_(* #,##0.000000000000000000000000_);_(* \(#,##0.000000000000000000000000\);_(* &quot;-&quot;??_);_(@_)"/>
    <numFmt numFmtId="165" formatCode="_(* #,##0.000000000000000000000000_);_(* \(#,##0.000000000000000000000000\);_(* &quot;-&quot;????????????????????????_);_(@_)"/>
    <numFmt numFmtId="166" formatCode="0.0000000000000000000000000"/>
    <numFmt numFmtId="167" formatCode="#,##0.0000"/>
    <numFmt numFmtId="168" formatCode="_(* #,##0_);_(* \(#,##0\);_(* &quot;-&quot;??_);_(@_)"/>
    <numFmt numFmtId="169" formatCode="0.0"/>
  </numFmts>
  <fonts count="54">
    <font>
      <sz val="10"/>
      <name val="Arial"/>
    </font>
    <font>
      <sz val="10"/>
      <name val="Arial"/>
      <family val="2"/>
    </font>
    <font>
      <u/>
      <sz val="10"/>
      <color indexed="12"/>
      <name val="Arial"/>
      <family val="2"/>
    </font>
    <font>
      <b/>
      <sz val="10"/>
      <color indexed="8"/>
      <name val="Trebuchet MS"/>
      <family val="2"/>
    </font>
    <font>
      <sz val="10"/>
      <name val="Arial"/>
      <family val="2"/>
    </font>
    <font>
      <b/>
      <sz val="10"/>
      <name val="Arial"/>
      <family val="2"/>
    </font>
    <font>
      <b/>
      <sz val="14"/>
      <color indexed="8"/>
      <name val="Trebuchet MS"/>
      <family val="2"/>
    </font>
    <font>
      <u/>
      <sz val="10"/>
      <name val="Arial"/>
      <family val="2"/>
    </font>
    <font>
      <b/>
      <sz val="16"/>
      <name val="Arial"/>
      <family val="2"/>
    </font>
    <font>
      <b/>
      <sz val="14"/>
      <name val="Arial"/>
      <family val="2"/>
    </font>
    <font>
      <i/>
      <u/>
      <sz val="10"/>
      <name val="Arial"/>
      <family val="2"/>
    </font>
    <font>
      <sz val="12"/>
      <name val="Cambria"/>
      <family val="1"/>
    </font>
    <font>
      <b/>
      <sz val="12"/>
      <name val="Cambria"/>
      <family val="1"/>
    </font>
    <font>
      <sz val="12"/>
      <name val="Arial"/>
      <family val="2"/>
    </font>
    <font>
      <b/>
      <sz val="12"/>
      <name val="Arial"/>
      <family val="2"/>
    </font>
    <font>
      <b/>
      <sz val="12"/>
      <color indexed="8"/>
      <name val="Arial"/>
      <family val="2"/>
    </font>
    <font>
      <sz val="11"/>
      <name val="Arial"/>
      <family val="2"/>
    </font>
    <font>
      <b/>
      <u/>
      <sz val="10"/>
      <name val="Arial"/>
      <family val="2"/>
    </font>
    <font>
      <sz val="14"/>
      <name val="Arial"/>
      <family val="2"/>
    </font>
    <font>
      <sz val="10"/>
      <color indexed="8"/>
      <name val="Trebuchet MS"/>
      <family val="2"/>
    </font>
    <font>
      <b/>
      <u/>
      <sz val="16"/>
      <name val="Arial"/>
      <family val="2"/>
    </font>
    <font>
      <u/>
      <sz val="11"/>
      <name val="Arial"/>
      <family val="2"/>
    </font>
    <font>
      <b/>
      <sz val="11"/>
      <name val="Arial"/>
      <family val="2"/>
    </font>
    <font>
      <b/>
      <sz val="11"/>
      <color indexed="8"/>
      <name val="Trebuchet MS"/>
      <family val="2"/>
    </font>
    <font>
      <i/>
      <sz val="10"/>
      <name val="Arial"/>
      <family val="2"/>
    </font>
    <font>
      <b/>
      <u/>
      <sz val="12"/>
      <name val="Arial"/>
      <family val="2"/>
    </font>
    <font>
      <b/>
      <sz val="11"/>
      <color indexed="8"/>
      <name val="Arial"/>
      <family val="2"/>
    </font>
    <font>
      <sz val="10"/>
      <color indexed="8"/>
      <name val="Arial"/>
      <family val="2"/>
    </font>
    <font>
      <sz val="10"/>
      <color indexed="9"/>
      <name val="Arial"/>
      <family val="2"/>
    </font>
    <font>
      <sz val="8"/>
      <name val="Tahoma"/>
      <family val="2"/>
    </font>
    <font>
      <b/>
      <i/>
      <sz val="12"/>
      <name val="Arial"/>
      <family val="2"/>
    </font>
    <font>
      <i/>
      <sz val="12"/>
      <name val="Arial"/>
      <family val="2"/>
    </font>
    <font>
      <u/>
      <sz val="12"/>
      <name val="Arial"/>
      <family val="2"/>
    </font>
    <font>
      <sz val="11"/>
      <color theme="0"/>
      <name val="Cambria"/>
      <family val="2"/>
      <scheme val="minor"/>
    </font>
    <font>
      <b/>
      <i/>
      <sz val="14"/>
      <name val="Cambria"/>
      <family val="1"/>
      <scheme val="minor"/>
    </font>
    <font>
      <b/>
      <u/>
      <sz val="24"/>
      <color rgb="FFC00000"/>
      <name val="Cambria"/>
      <family val="1"/>
      <scheme val="minor"/>
    </font>
    <font>
      <sz val="12"/>
      <name val="Cambria"/>
      <family val="1"/>
      <scheme val="minor"/>
    </font>
    <font>
      <u/>
      <sz val="12"/>
      <color indexed="12"/>
      <name val="Cambria"/>
      <family val="1"/>
      <scheme val="minor"/>
    </font>
    <font>
      <b/>
      <sz val="14"/>
      <color theme="3" tint="0.39997558519241921"/>
      <name val="Cambria"/>
      <family val="1"/>
      <scheme val="minor"/>
    </font>
    <font>
      <u/>
      <sz val="12"/>
      <name val="Cambria"/>
      <family val="1"/>
      <scheme val="minor"/>
    </font>
    <font>
      <sz val="11"/>
      <color theme="0"/>
      <name val="Cambria"/>
      <family val="1"/>
      <scheme val="minor"/>
    </font>
    <font>
      <sz val="11"/>
      <name val="Cambria"/>
      <family val="1"/>
      <scheme val="minor"/>
    </font>
    <font>
      <sz val="11"/>
      <color theme="0"/>
      <name val="Arial"/>
      <family val="2"/>
    </font>
    <font>
      <vertAlign val="subscript"/>
      <sz val="11"/>
      <color theme="0"/>
      <name val="Cambria"/>
      <family val="1"/>
      <scheme val="minor"/>
    </font>
    <font>
      <sz val="12"/>
      <color theme="0"/>
      <name val="Arial"/>
      <family val="2"/>
    </font>
    <font>
      <sz val="11"/>
      <color indexed="8"/>
      <name val="Cambria"/>
      <family val="1"/>
      <scheme val="minor"/>
    </font>
    <font>
      <b/>
      <sz val="12"/>
      <color theme="0"/>
      <name val="Arial"/>
      <family val="2"/>
    </font>
    <font>
      <sz val="10"/>
      <name val="Cambria"/>
      <family val="1"/>
      <scheme val="minor"/>
    </font>
    <font>
      <b/>
      <sz val="12"/>
      <name val="Cambria"/>
      <family val="1"/>
      <scheme val="minor"/>
    </font>
    <font>
      <u/>
      <sz val="11"/>
      <name val="Cambria"/>
      <family val="1"/>
      <scheme val="minor"/>
    </font>
    <font>
      <sz val="11"/>
      <color theme="4"/>
      <name val="Arial"/>
      <family val="2"/>
    </font>
    <font>
      <b/>
      <sz val="11"/>
      <color theme="4"/>
      <name val="Arial"/>
      <family val="2"/>
    </font>
    <font>
      <sz val="10"/>
      <name val="Trebuchet MS"/>
      <family val="2"/>
    </font>
    <font>
      <b/>
      <sz val="10"/>
      <name val="Trebuchet MS"/>
      <family val="2"/>
    </font>
  </fonts>
  <fills count="13">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theme="5" tint="-0.249977111117893"/>
        <bgColor indexed="64"/>
      </patternFill>
    </fill>
    <fill>
      <patternFill patternType="solid">
        <fgColor theme="5" tint="0.39997558519241921"/>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1"/>
        <bgColor indexed="64"/>
      </patternFill>
    </fill>
    <fill>
      <patternFill patternType="solid">
        <fgColor theme="0" tint="-0.14999847407452621"/>
        <bgColor indexed="64"/>
      </patternFill>
    </fill>
    <fill>
      <patternFill patternType="solid">
        <fgColor theme="8" tint="0.79998168889431442"/>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style="double">
        <color indexed="64"/>
      </left>
      <right/>
      <top style="double">
        <color indexed="64"/>
      </top>
      <bottom/>
      <diagonal/>
    </border>
    <border>
      <left style="double">
        <color indexed="64"/>
      </left>
      <right style="double">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double">
        <color indexed="64"/>
      </right>
      <top style="double">
        <color indexed="64"/>
      </top>
      <bottom/>
      <diagonal/>
    </border>
    <border>
      <left style="thin">
        <color indexed="64"/>
      </left>
      <right style="double">
        <color indexed="64"/>
      </right>
      <top/>
      <bottom/>
      <diagonal/>
    </border>
    <border>
      <left style="thin">
        <color indexed="64"/>
      </left>
      <right style="double">
        <color indexed="64"/>
      </right>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right/>
      <top style="thin">
        <color indexed="64"/>
      </top>
      <bottom style="thin">
        <color indexed="64"/>
      </bottom>
      <diagonal/>
    </border>
    <border>
      <left/>
      <right/>
      <top style="thin">
        <color indexed="64"/>
      </top>
      <bottom/>
      <diagonal/>
    </border>
    <border>
      <left/>
      <right style="double">
        <color indexed="64"/>
      </right>
      <top style="double">
        <color indexed="64"/>
      </top>
      <bottom/>
      <diagonal/>
    </border>
    <border>
      <left/>
      <right style="double">
        <color indexed="64"/>
      </right>
      <top/>
      <bottom/>
      <diagonal/>
    </border>
    <border>
      <left/>
      <right style="double">
        <color indexed="64"/>
      </right>
      <top/>
      <bottom style="double">
        <color indexed="64"/>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indexed="64"/>
      </left>
      <right style="thin">
        <color theme="0"/>
      </right>
      <top/>
      <bottom/>
      <diagonal/>
    </border>
    <border>
      <left style="thin">
        <color theme="0"/>
      </left>
      <right/>
      <top/>
      <bottom/>
      <diagonal/>
    </border>
    <border>
      <left/>
      <right/>
      <top style="thin">
        <color theme="0"/>
      </top>
      <bottom style="thin">
        <color indexed="64"/>
      </bottom>
      <diagonal/>
    </border>
    <border>
      <left/>
      <right/>
      <top style="double">
        <color indexed="64"/>
      </top>
      <bottom style="thin">
        <color indexed="64"/>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applyNumberFormat="0" applyFill="0" applyBorder="0" applyAlignment="0" applyProtection="0">
      <alignment vertical="top"/>
      <protection locked="0"/>
    </xf>
    <xf numFmtId="0" fontId="1" fillId="0" borderId="0"/>
  </cellStyleXfs>
  <cellXfs count="402">
    <xf numFmtId="0" fontId="0" fillId="0" borderId="0" xfId="0"/>
    <xf numFmtId="0" fontId="0" fillId="0" borderId="0" xfId="0" applyFill="1" applyBorder="1"/>
    <xf numFmtId="0" fontId="0" fillId="2" borderId="0" xfId="0" applyFill="1"/>
    <xf numFmtId="0" fontId="0" fillId="2" borderId="0" xfId="0" applyFill="1" applyBorder="1"/>
    <xf numFmtId="0" fontId="34" fillId="2" borderId="0" xfId="0" applyFont="1" applyFill="1" applyAlignment="1">
      <alignment vertical="center"/>
    </xf>
    <xf numFmtId="0" fontId="0" fillId="0" borderId="1" xfId="0" applyNumberFormat="1" applyFill="1" applyBorder="1"/>
    <xf numFmtId="0" fontId="35" fillId="2" borderId="0" xfId="0" applyFont="1" applyFill="1" applyAlignment="1">
      <alignment vertical="center"/>
    </xf>
    <xf numFmtId="0" fontId="5" fillId="0" borderId="1" xfId="0" applyFont="1" applyFill="1" applyBorder="1"/>
    <xf numFmtId="0" fontId="5" fillId="0" borderId="1" xfId="0" applyFont="1" applyFill="1" applyBorder="1" applyAlignment="1">
      <alignment horizontal="center" wrapText="1"/>
    </xf>
    <xf numFmtId="0" fontId="4" fillId="0" borderId="0" xfId="0" applyFont="1" applyFill="1" applyBorder="1"/>
    <xf numFmtId="0" fontId="0" fillId="0" borderId="1" xfId="0" applyFill="1" applyBorder="1"/>
    <xf numFmtId="0" fontId="4" fillId="0" borderId="1" xfId="0" applyFont="1" applyFill="1" applyBorder="1"/>
    <xf numFmtId="0" fontId="0" fillId="0" borderId="0" xfId="0" applyFill="1"/>
    <xf numFmtId="0" fontId="0" fillId="0" borderId="0" xfId="0" applyNumberFormat="1" applyFill="1"/>
    <xf numFmtId="0" fontId="4" fillId="0" borderId="0" xfId="0" applyFont="1" applyFill="1" applyAlignment="1">
      <alignment wrapText="1"/>
    </xf>
    <xf numFmtId="0" fontId="4" fillId="0" borderId="1" xfId="0" applyFont="1" applyFill="1" applyBorder="1" applyAlignment="1">
      <alignment horizontal="center"/>
    </xf>
    <xf numFmtId="0" fontId="4" fillId="0" borderId="1" xfId="0" applyFont="1" applyFill="1" applyBorder="1" applyAlignment="1">
      <alignment horizontal="right"/>
    </xf>
    <xf numFmtId="0" fontId="10" fillId="0" borderId="1" xfId="0" applyFont="1" applyFill="1" applyBorder="1"/>
    <xf numFmtId="0" fontId="4" fillId="0" borderId="1" xfId="0" applyNumberFormat="1" applyFont="1" applyFill="1" applyBorder="1"/>
    <xf numFmtId="0" fontId="0" fillId="0" borderId="1" xfId="0" applyFill="1" applyBorder="1" applyAlignment="1">
      <alignment horizontal="center"/>
    </xf>
    <xf numFmtId="0" fontId="5" fillId="0" borderId="0" xfId="0" applyFont="1" applyFill="1"/>
    <xf numFmtId="0" fontId="3" fillId="0" borderId="1" xfId="0" applyFont="1" applyFill="1" applyBorder="1" applyAlignment="1">
      <alignment horizontal="center" wrapText="1"/>
    </xf>
    <xf numFmtId="0" fontId="36" fillId="2" borderId="0" xfId="0" applyFont="1" applyFill="1"/>
    <xf numFmtId="0" fontId="37" fillId="2" borderId="0" xfId="3" applyFont="1" applyFill="1" applyAlignment="1" applyProtection="1"/>
    <xf numFmtId="0" fontId="38" fillId="2" borderId="0" xfId="0" applyFont="1" applyFill="1"/>
    <xf numFmtId="0" fontId="39" fillId="2" borderId="0" xfId="0" applyFont="1" applyFill="1"/>
    <xf numFmtId="0" fontId="36" fillId="0" borderId="0" xfId="0" applyFont="1"/>
    <xf numFmtId="0" fontId="6" fillId="0" borderId="2" xfId="0" applyFont="1" applyFill="1" applyBorder="1" applyAlignment="1">
      <alignment horizontal="left"/>
    </xf>
    <xf numFmtId="0" fontId="0" fillId="0" borderId="2" xfId="0" applyFill="1" applyBorder="1" applyAlignment="1">
      <alignment horizontal="left"/>
    </xf>
    <xf numFmtId="0" fontId="34" fillId="2" borderId="0" xfId="0" applyFont="1" applyFill="1" applyBorder="1" applyAlignment="1">
      <alignment vertical="center"/>
    </xf>
    <xf numFmtId="0" fontId="4" fillId="0" borderId="0" xfId="0" applyFont="1"/>
    <xf numFmtId="0" fontId="13" fillId="2" borderId="0" xfId="0" applyFont="1" applyFill="1"/>
    <xf numFmtId="0" fontId="13" fillId="2" borderId="0" xfId="0" applyFont="1" applyFill="1" applyBorder="1"/>
    <xf numFmtId="0" fontId="16" fillId="3" borderId="2" xfId="0" applyFont="1" applyFill="1" applyBorder="1" applyAlignment="1">
      <alignment horizontal="center"/>
    </xf>
    <xf numFmtId="0" fontId="0" fillId="0" borderId="0" xfId="0" applyBorder="1"/>
    <xf numFmtId="0" fontId="4" fillId="0" borderId="0" xfId="0" applyFont="1" applyBorder="1"/>
    <xf numFmtId="0" fontId="17" fillId="0" borderId="0" xfId="0" applyFont="1" applyBorder="1" applyAlignment="1">
      <alignment wrapText="1"/>
    </xf>
    <xf numFmtId="0" fontId="0" fillId="0" borderId="0" xfId="0" applyBorder="1" applyAlignment="1">
      <alignment wrapText="1"/>
    </xf>
    <xf numFmtId="0" fontId="40" fillId="3" borderId="0" xfId="0" applyFont="1" applyFill="1" applyBorder="1" applyAlignment="1">
      <alignment horizontal="center" vertical="center"/>
    </xf>
    <xf numFmtId="0" fontId="4" fillId="0" borderId="0" xfId="0" applyFont="1" applyAlignment="1">
      <alignment wrapText="1"/>
    </xf>
    <xf numFmtId="0" fontId="10" fillId="0" borderId="0" xfId="0" applyFont="1" applyBorder="1"/>
    <xf numFmtId="0" fontId="0" fillId="0" borderId="3" xfId="0" applyBorder="1"/>
    <xf numFmtId="0" fontId="0" fillId="0" borderId="4" xfId="0" applyBorder="1"/>
    <xf numFmtId="0" fontId="0" fillId="0" borderId="5" xfId="0" applyBorder="1"/>
    <xf numFmtId="0" fontId="0" fillId="0" borderId="6" xfId="0" applyBorder="1"/>
    <xf numFmtId="0" fontId="10" fillId="0" borderId="6" xfId="0" applyFont="1" applyBorder="1"/>
    <xf numFmtId="0" fontId="4" fillId="0" borderId="7" xfId="0" applyFont="1" applyBorder="1" applyAlignment="1">
      <alignment wrapText="1"/>
    </xf>
    <xf numFmtId="0" fontId="0" fillId="0" borderId="4" xfId="0" applyBorder="1" applyAlignment="1">
      <alignment wrapText="1"/>
    </xf>
    <xf numFmtId="0" fontId="4" fillId="0" borderId="4" xfId="0" applyFont="1" applyBorder="1" applyAlignment="1">
      <alignment wrapText="1"/>
    </xf>
    <xf numFmtId="0" fontId="17" fillId="0" borderId="0" xfId="0" applyFont="1" applyFill="1" applyBorder="1" applyAlignment="1">
      <alignment wrapText="1"/>
    </xf>
    <xf numFmtId="0" fontId="0" fillId="0" borderId="0" xfId="0" applyFill="1" applyBorder="1" applyAlignment="1">
      <alignment wrapText="1"/>
    </xf>
    <xf numFmtId="0" fontId="9" fillId="0" borderId="0" xfId="0" applyFont="1" applyFill="1" applyBorder="1" applyAlignment="1">
      <alignment horizontal="center"/>
    </xf>
    <xf numFmtId="0" fontId="0" fillId="0" borderId="0" xfId="0" applyFill="1" applyBorder="1" applyAlignment="1">
      <alignment horizontal="center"/>
    </xf>
    <xf numFmtId="0" fontId="16" fillId="4" borderId="2" xfId="0" applyFont="1" applyFill="1" applyBorder="1" applyAlignment="1"/>
    <xf numFmtId="0" fontId="40" fillId="4" borderId="2" xfId="0" applyFont="1" applyFill="1" applyBorder="1" applyAlignment="1"/>
    <xf numFmtId="0" fontId="17" fillId="0" borderId="8" xfId="0" applyFont="1" applyFill="1" applyBorder="1" applyAlignment="1">
      <alignment horizontal="center" wrapText="1"/>
    </xf>
    <xf numFmtId="0" fontId="9" fillId="0" borderId="8" xfId="0" applyFont="1" applyFill="1" applyBorder="1" applyAlignment="1">
      <alignment horizontal="center" wrapText="1"/>
    </xf>
    <xf numFmtId="0" fontId="0" fillId="0" borderId="8" xfId="0" applyFill="1" applyBorder="1" applyAlignment="1">
      <alignment horizontal="center" wrapText="1"/>
    </xf>
    <xf numFmtId="0" fontId="5" fillId="0" borderId="8" xfId="0" applyFont="1" applyFill="1" applyBorder="1" applyAlignment="1">
      <alignment horizontal="center" wrapText="1"/>
    </xf>
    <xf numFmtId="0" fontId="0" fillId="0" borderId="8" xfId="0" applyNumberFormat="1" applyFill="1" applyBorder="1" applyAlignment="1">
      <alignment horizontal="center" wrapText="1"/>
    </xf>
    <xf numFmtId="0" fontId="9" fillId="0" borderId="8" xfId="0" applyFont="1" applyFill="1" applyBorder="1" applyAlignment="1">
      <alignment horizontal="center"/>
    </xf>
    <xf numFmtId="0" fontId="4" fillId="0" borderId="8" xfId="0" applyFont="1" applyFill="1" applyBorder="1" applyAlignment="1">
      <alignment horizontal="center"/>
    </xf>
    <xf numFmtId="0" fontId="0" fillId="0" borderId="8" xfId="0" applyFill="1" applyBorder="1" applyAlignment="1">
      <alignment horizontal="center"/>
    </xf>
    <xf numFmtId="0" fontId="0" fillId="0" borderId="8" xfId="0" applyFill="1" applyBorder="1"/>
    <xf numFmtId="0" fontId="18" fillId="0" borderId="8" xfId="0" applyFont="1" applyFill="1" applyBorder="1" applyAlignment="1">
      <alignment horizontal="center"/>
    </xf>
    <xf numFmtId="0" fontId="33" fillId="4" borderId="0" xfId="0" applyFont="1" applyFill="1" applyBorder="1" applyAlignment="1">
      <alignment horizontal="center" vertical="center"/>
    </xf>
    <xf numFmtId="0" fontId="0" fillId="2" borderId="2" xfId="0" applyFill="1" applyBorder="1"/>
    <xf numFmtId="0" fontId="4" fillId="0" borderId="0" xfId="0" applyFont="1" applyFill="1" applyBorder="1" applyAlignment="1">
      <alignment horizontal="center"/>
    </xf>
    <xf numFmtId="0" fontId="7" fillId="2" borderId="0" xfId="0" applyFont="1" applyFill="1"/>
    <xf numFmtId="0" fontId="4" fillId="2" borderId="0" xfId="0" applyFont="1" applyFill="1"/>
    <xf numFmtId="0" fontId="4" fillId="2" borderId="1" xfId="0" applyFont="1" applyFill="1" applyBorder="1"/>
    <xf numFmtId="0" fontId="0" fillId="2" borderId="1" xfId="0" applyFill="1" applyBorder="1"/>
    <xf numFmtId="0" fontId="4" fillId="2" borderId="1" xfId="0" applyFont="1" applyFill="1" applyBorder="1" applyAlignment="1">
      <alignment wrapText="1"/>
    </xf>
    <xf numFmtId="0" fontId="19" fillId="0" borderId="1" xfId="0" applyFont="1" applyFill="1" applyBorder="1" applyAlignment="1">
      <alignment horizontal="center"/>
    </xf>
    <xf numFmtId="0" fontId="4" fillId="0" borderId="1" xfId="0" applyFont="1" applyBorder="1"/>
    <xf numFmtId="0" fontId="0" fillId="2" borderId="9" xfId="0" applyFill="1" applyBorder="1"/>
    <xf numFmtId="0" fontId="0" fillId="2" borderId="10" xfId="0" applyFill="1" applyBorder="1"/>
    <xf numFmtId="0" fontId="4" fillId="2" borderId="0" xfId="0" applyFont="1" applyFill="1" applyBorder="1"/>
    <xf numFmtId="0" fontId="0" fillId="2" borderId="11" xfId="0" applyFill="1" applyBorder="1"/>
    <xf numFmtId="0" fontId="0" fillId="2" borderId="12" xfId="0" applyFill="1" applyBorder="1"/>
    <xf numFmtId="0" fontId="0" fillId="2" borderId="13" xfId="0" applyFill="1" applyBorder="1"/>
    <xf numFmtId="0" fontId="0" fillId="2" borderId="14" xfId="0" applyFill="1" applyBorder="1"/>
    <xf numFmtId="0" fontId="0" fillId="2" borderId="15" xfId="0" applyFill="1" applyBorder="1"/>
    <xf numFmtId="0" fontId="0" fillId="2" borderId="16" xfId="0" applyFill="1" applyBorder="1"/>
    <xf numFmtId="0" fontId="19" fillId="0" borderId="10" xfId="0" applyFont="1" applyFill="1" applyBorder="1" applyAlignment="1">
      <alignment horizontal="center"/>
    </xf>
    <xf numFmtId="0" fontId="4" fillId="2" borderId="17" xfId="0" applyFont="1" applyFill="1" applyBorder="1"/>
    <xf numFmtId="0" fontId="4" fillId="0" borderId="10" xfId="0" applyFont="1" applyBorder="1"/>
    <xf numFmtId="0" fontId="4" fillId="2" borderId="1" xfId="0" applyFont="1" applyFill="1" applyBorder="1" applyAlignment="1">
      <alignment horizontal="center"/>
    </xf>
    <xf numFmtId="0" fontId="5" fillId="2" borderId="11" xfId="0" applyFont="1" applyFill="1" applyBorder="1" applyAlignment="1">
      <alignment vertical="center"/>
    </xf>
    <xf numFmtId="0" fontId="7" fillId="2" borderId="17" xfId="0" applyFont="1" applyFill="1" applyBorder="1"/>
    <xf numFmtId="0" fontId="7" fillId="2" borderId="13" xfId="0" applyFont="1" applyFill="1" applyBorder="1"/>
    <xf numFmtId="0" fontId="7" fillId="2" borderId="0" xfId="0" applyFont="1" applyFill="1" applyBorder="1"/>
    <xf numFmtId="0" fontId="5" fillId="2" borderId="11" xfId="0" applyFont="1" applyFill="1" applyBorder="1" applyAlignment="1">
      <alignment horizontal="center" vertical="center" wrapText="1"/>
    </xf>
    <xf numFmtId="0" fontId="4" fillId="2" borderId="10" xfId="0" applyFont="1" applyFill="1" applyBorder="1" applyAlignment="1">
      <alignment horizontal="center"/>
    </xf>
    <xf numFmtId="0" fontId="4" fillId="2" borderId="0" xfId="0" applyFont="1" applyFill="1" applyBorder="1" applyAlignment="1">
      <alignment wrapText="1"/>
    </xf>
    <xf numFmtId="0" fontId="4" fillId="2" borderId="2" xfId="0" applyFont="1" applyFill="1" applyBorder="1" applyAlignment="1">
      <alignment horizontal="center"/>
    </xf>
    <xf numFmtId="0" fontId="4" fillId="2" borderId="10" xfId="0" applyFont="1" applyFill="1" applyBorder="1" applyAlignment="1">
      <alignment horizontal="center" wrapText="1"/>
    </xf>
    <xf numFmtId="0" fontId="4" fillId="2" borderId="1" xfId="0" applyFont="1" applyFill="1" applyBorder="1" applyAlignment="1">
      <alignment vertical="center" wrapText="1"/>
    </xf>
    <xf numFmtId="0" fontId="4" fillId="2" borderId="1" xfId="0" applyFont="1" applyFill="1" applyBorder="1" applyAlignment="1">
      <alignment vertical="center"/>
    </xf>
    <xf numFmtId="0" fontId="0" fillId="2" borderId="1" xfId="0" applyFill="1" applyBorder="1" applyAlignment="1">
      <alignment vertical="center"/>
    </xf>
    <xf numFmtId="0" fontId="4" fillId="2" borderId="1" xfId="0" applyFont="1" applyFill="1" applyBorder="1" applyAlignment="1">
      <alignment horizontal="center" vertical="center" wrapText="1"/>
    </xf>
    <xf numFmtId="0" fontId="17" fillId="2" borderId="0" xfId="0" applyFont="1" applyFill="1" applyBorder="1" applyAlignment="1">
      <alignment wrapText="1"/>
    </xf>
    <xf numFmtId="0" fontId="17" fillId="2" borderId="0" xfId="0" applyFont="1" applyFill="1" applyBorder="1" applyAlignment="1">
      <alignment horizontal="center" vertical="center" wrapText="1"/>
    </xf>
    <xf numFmtId="0" fontId="14" fillId="2" borderId="0" xfId="0" applyFont="1" applyFill="1" applyBorder="1" applyAlignment="1">
      <alignment horizontal="left" vertical="top" indent="2"/>
    </xf>
    <xf numFmtId="0" fontId="41" fillId="2" borderId="0" xfId="0" applyFont="1" applyFill="1" applyBorder="1" applyAlignment="1">
      <alignment horizontal="center" vertical="center"/>
    </xf>
    <xf numFmtId="0" fontId="16" fillId="2" borderId="0" xfId="0" applyFont="1" applyFill="1" applyBorder="1" applyAlignment="1">
      <alignment vertical="center" wrapText="1"/>
    </xf>
    <xf numFmtId="0" fontId="16" fillId="2" borderId="0" xfId="0" applyFont="1" applyFill="1" applyBorder="1" applyAlignment="1">
      <alignment vertical="top"/>
    </xf>
    <xf numFmtId="0" fontId="4" fillId="2" borderId="0" xfId="0" applyFont="1" applyFill="1" applyBorder="1" applyAlignment="1">
      <alignment horizontal="left" indent="2"/>
    </xf>
    <xf numFmtId="0" fontId="16" fillId="2" borderId="0" xfId="0" applyFont="1" applyFill="1" applyBorder="1"/>
    <xf numFmtId="0" fontId="14" fillId="2" borderId="0" xfId="0" applyFont="1" applyFill="1" applyBorder="1" applyAlignment="1">
      <alignment horizontal="center" vertical="center" wrapText="1"/>
    </xf>
    <xf numFmtId="0" fontId="40" fillId="2" borderId="0" xfId="0" applyFont="1" applyFill="1" applyBorder="1" applyAlignment="1">
      <alignment horizontal="center" vertical="center"/>
    </xf>
    <xf numFmtId="0" fontId="42" fillId="2" borderId="0" xfId="0" applyFont="1" applyFill="1" applyBorder="1" applyAlignment="1"/>
    <xf numFmtId="0" fontId="40" fillId="2" borderId="0" xfId="0" applyFont="1" applyFill="1" applyBorder="1" applyAlignment="1">
      <alignment horizontal="left" vertical="center"/>
    </xf>
    <xf numFmtId="0" fontId="16" fillId="2" borderId="0" xfId="0" applyFont="1" applyFill="1" applyBorder="1" applyAlignment="1">
      <alignment horizontal="center"/>
    </xf>
    <xf numFmtId="0" fontId="0" fillId="2" borderId="0" xfId="0" applyFill="1" applyBorder="1" applyAlignment="1">
      <alignment horizontal="center"/>
    </xf>
    <xf numFmtId="0" fontId="13" fillId="2" borderId="0" xfId="0" applyFont="1" applyFill="1" applyBorder="1" applyAlignment="1"/>
    <xf numFmtId="0" fontId="14" fillId="2" borderId="0" xfId="0" applyFont="1" applyFill="1" applyBorder="1" applyAlignment="1">
      <alignment horizontal="left" vertical="center"/>
    </xf>
    <xf numFmtId="0" fontId="40" fillId="2" borderId="0" xfId="0" applyNumberFormat="1" applyFont="1" applyFill="1" applyBorder="1" applyAlignment="1">
      <alignment horizontal="center" vertical="center"/>
    </xf>
    <xf numFmtId="0" fontId="16" fillId="2" borderId="0" xfId="0" applyFont="1" applyFill="1" applyBorder="1" applyAlignment="1"/>
    <xf numFmtId="0" fontId="40" fillId="2" borderId="0" xfId="0" applyNumberFormat="1" applyFont="1" applyFill="1" applyBorder="1" applyAlignment="1">
      <alignment horizontal="center" vertical="center" wrapText="1" shrinkToFit="1"/>
    </xf>
    <xf numFmtId="0" fontId="33" fillId="2" borderId="0" xfId="0" applyFont="1" applyFill="1" applyBorder="1" applyAlignment="1">
      <alignment horizontal="left" vertical="center"/>
    </xf>
    <xf numFmtId="0" fontId="42" fillId="2" borderId="0" xfId="0" applyFont="1" applyFill="1" applyBorder="1" applyAlignment="1">
      <alignment horizontal="left"/>
    </xf>
    <xf numFmtId="0" fontId="33" fillId="2" borderId="0" xfId="0" applyFont="1" applyFill="1" applyBorder="1" applyAlignment="1">
      <alignment horizontal="center" vertical="center"/>
    </xf>
    <xf numFmtId="0" fontId="16" fillId="2" borderId="0" xfId="0" applyNumberFormat="1" applyFont="1" applyFill="1" applyBorder="1" applyAlignment="1"/>
    <xf numFmtId="0" fontId="42" fillId="2" borderId="0" xfId="0" applyFont="1" applyFill="1" applyBorder="1" applyAlignment="1">
      <alignment horizontal="right" vertical="center"/>
    </xf>
    <xf numFmtId="0" fontId="40" fillId="2" borderId="0" xfId="0" applyNumberFormat="1" applyFont="1" applyFill="1" applyBorder="1" applyAlignment="1">
      <alignment horizontal="center" vertical="center" shrinkToFit="1"/>
    </xf>
    <xf numFmtId="0" fontId="42" fillId="2" borderId="0" xfId="0" applyFont="1" applyFill="1" applyBorder="1" applyAlignment="1">
      <alignment horizontal="left" indent="5"/>
    </xf>
    <xf numFmtId="0" fontId="0" fillId="2" borderId="0" xfId="0" applyFill="1" applyBorder="1" applyAlignment="1">
      <alignment horizontal="left"/>
    </xf>
    <xf numFmtId="0" fontId="43" fillId="2" borderId="0" xfId="0" applyFont="1" applyFill="1" applyBorder="1" applyAlignment="1">
      <alignment horizontal="center" vertical="center"/>
    </xf>
    <xf numFmtId="0" fontId="40" fillId="2" borderId="0" xfId="0" applyFont="1" applyFill="1" applyBorder="1" applyAlignment="1"/>
    <xf numFmtId="0" fontId="44" fillId="2" borderId="0" xfId="0" applyFont="1" applyFill="1" applyBorder="1" applyAlignment="1"/>
    <xf numFmtId="0" fontId="4" fillId="0" borderId="0" xfId="0" applyFont="1" applyAlignment="1"/>
    <xf numFmtId="0" fontId="16" fillId="2" borderId="0" xfId="0" applyFont="1" applyFill="1" applyBorder="1" applyAlignment="1">
      <alignment vertical="center"/>
    </xf>
    <xf numFmtId="0" fontId="4" fillId="0" borderId="6" xfId="0" applyFont="1" applyBorder="1"/>
    <xf numFmtId="0" fontId="0" fillId="0" borderId="18" xfId="0" applyBorder="1"/>
    <xf numFmtId="0" fontId="0" fillId="0" borderId="19" xfId="0" applyBorder="1"/>
    <xf numFmtId="0" fontId="0" fillId="0" borderId="20" xfId="0" applyBorder="1"/>
    <xf numFmtId="0" fontId="10" fillId="0" borderId="4" xfId="0" applyFont="1" applyBorder="1"/>
    <xf numFmtId="0" fontId="9" fillId="0" borderId="0" xfId="0" applyFont="1" applyBorder="1" applyAlignment="1">
      <alignment horizontal="center"/>
    </xf>
    <xf numFmtId="0" fontId="10" fillId="0" borderId="20" xfId="0" applyFont="1" applyBorder="1"/>
    <xf numFmtId="0" fontId="14" fillId="2" borderId="0" xfId="0" applyFont="1" applyFill="1" applyBorder="1" applyAlignment="1"/>
    <xf numFmtId="0" fontId="0" fillId="2" borderId="0" xfId="0" applyFill="1" applyBorder="1" applyAlignment="1"/>
    <xf numFmtId="0" fontId="0" fillId="3" borderId="14" xfId="0" applyFill="1" applyBorder="1" applyAlignment="1"/>
    <xf numFmtId="0" fontId="13" fillId="3" borderId="2" xfId="0" applyFont="1" applyFill="1" applyBorder="1" applyAlignment="1"/>
    <xf numFmtId="0" fontId="16" fillId="3" borderId="2" xfId="0" applyFont="1" applyFill="1" applyBorder="1" applyAlignment="1"/>
    <xf numFmtId="0" fontId="16" fillId="4" borderId="12" xfId="0" applyFont="1" applyFill="1" applyBorder="1" applyAlignment="1"/>
    <xf numFmtId="0" fontId="40" fillId="4" borderId="14" xfId="0" applyFont="1" applyFill="1" applyBorder="1" applyAlignment="1"/>
    <xf numFmtId="0" fontId="7" fillId="2" borderId="0" xfId="0" applyFont="1" applyFill="1" applyBorder="1" applyAlignment="1"/>
    <xf numFmtId="0" fontId="7" fillId="0" borderId="0" xfId="0" applyFont="1" applyBorder="1" applyAlignment="1">
      <alignment wrapText="1"/>
    </xf>
    <xf numFmtId="0" fontId="7" fillId="0" borderId="0" xfId="0" applyFont="1" applyFill="1" applyBorder="1" applyAlignment="1">
      <alignment wrapText="1"/>
    </xf>
    <xf numFmtId="0" fontId="7" fillId="0" borderId="4" xfId="0" applyFont="1" applyBorder="1" applyAlignment="1">
      <alignment wrapText="1"/>
    </xf>
    <xf numFmtId="0" fontId="7" fillId="0" borderId="19" xfId="0" applyFont="1" applyBorder="1" applyAlignment="1">
      <alignment vertical="center" wrapText="1"/>
    </xf>
    <xf numFmtId="0" fontId="14" fillId="2" borderId="0" xfId="0" applyFont="1" applyFill="1" applyBorder="1" applyAlignment="1">
      <alignment vertical="center"/>
    </xf>
    <xf numFmtId="0" fontId="16" fillId="4" borderId="15" xfId="0" applyFont="1" applyFill="1" applyBorder="1" applyAlignment="1"/>
    <xf numFmtId="0" fontId="40" fillId="4" borderId="13" xfId="0" applyFont="1" applyFill="1" applyBorder="1" applyAlignment="1">
      <alignment vertical="center"/>
    </xf>
    <xf numFmtId="0" fontId="9" fillId="0" borderId="0" xfId="0" applyFont="1" applyBorder="1" applyAlignment="1"/>
    <xf numFmtId="0" fontId="0" fillId="0" borderId="7" xfId="0" applyBorder="1"/>
    <xf numFmtId="0" fontId="5" fillId="0" borderId="4" xfId="0" applyFont="1" applyBorder="1" applyAlignment="1">
      <alignment wrapText="1"/>
    </xf>
    <xf numFmtId="0" fontId="4" fillId="0" borderId="19" xfId="0" applyFont="1" applyBorder="1"/>
    <xf numFmtId="0" fontId="4" fillId="0" borderId="20" xfId="0" applyFont="1" applyBorder="1"/>
    <xf numFmtId="0" fontId="24" fillId="0" borderId="0" xfId="0" applyFont="1" applyBorder="1"/>
    <xf numFmtId="0" fontId="0" fillId="0" borderId="1" xfId="0" applyBorder="1"/>
    <xf numFmtId="0" fontId="0" fillId="0" borderId="21" xfId="0" applyBorder="1"/>
    <xf numFmtId="0" fontId="0" fillId="0" borderId="22" xfId="0" applyFont="1" applyFill="1" applyBorder="1" applyAlignment="1">
      <alignment wrapText="1"/>
    </xf>
    <xf numFmtId="0" fontId="4" fillId="0" borderId="23" xfId="0" applyFont="1" applyBorder="1" applyAlignment="1">
      <alignment wrapText="1"/>
    </xf>
    <xf numFmtId="0" fontId="4" fillId="0" borderId="24" xfId="0" applyFont="1" applyBorder="1" applyAlignment="1">
      <alignment wrapText="1"/>
    </xf>
    <xf numFmtId="0" fontId="0" fillId="0" borderId="25" xfId="0" applyBorder="1"/>
    <xf numFmtId="0" fontId="10" fillId="0" borderId="26" xfId="0" applyFont="1" applyBorder="1" applyAlignment="1">
      <alignment wrapText="1"/>
    </xf>
    <xf numFmtId="0" fontId="10" fillId="0" borderId="27" xfId="0" applyFont="1" applyBorder="1"/>
    <xf numFmtId="0" fontId="10" fillId="0" borderId="28" xfId="0" applyFont="1" applyBorder="1"/>
    <xf numFmtId="0" fontId="4" fillId="5" borderId="14" xfId="0" applyFont="1" applyFill="1" applyBorder="1"/>
    <xf numFmtId="0" fontId="16" fillId="6" borderId="29" xfId="0" applyFont="1" applyFill="1" applyBorder="1"/>
    <xf numFmtId="0" fontId="41" fillId="6" borderId="29" xfId="0" applyFont="1" applyFill="1" applyBorder="1"/>
    <xf numFmtId="0" fontId="45" fillId="6" borderId="29" xfId="0" applyFont="1" applyFill="1" applyBorder="1" applyAlignment="1">
      <alignment horizontal="center" vertical="center"/>
    </xf>
    <xf numFmtId="0" fontId="4" fillId="6" borderId="14" xfId="0" applyFont="1" applyFill="1" applyBorder="1"/>
    <xf numFmtId="0" fontId="4" fillId="6" borderId="2" xfId="0" applyFont="1" applyFill="1" applyBorder="1"/>
    <xf numFmtId="0" fontId="4" fillId="6" borderId="15" xfId="0" applyFont="1" applyFill="1" applyBorder="1"/>
    <xf numFmtId="0" fontId="4" fillId="6" borderId="11" xfId="0" applyFont="1" applyFill="1" applyBorder="1"/>
    <xf numFmtId="0" fontId="45" fillId="2" borderId="1" xfId="0" applyFont="1" applyFill="1" applyBorder="1" applyAlignment="1">
      <alignment horizontal="center" vertical="center"/>
    </xf>
    <xf numFmtId="3" fontId="41" fillId="2" borderId="1" xfId="2" applyNumberFormat="1" applyFont="1" applyFill="1" applyBorder="1" applyAlignment="1">
      <alignment horizontal="center" vertical="center"/>
    </xf>
    <xf numFmtId="0" fontId="41" fillId="2" borderId="1" xfId="0" applyFont="1" applyFill="1" applyBorder="1" applyAlignment="1">
      <alignment horizontal="center" vertical="center"/>
    </xf>
    <xf numFmtId="0" fontId="41" fillId="2" borderId="1" xfId="0" applyFont="1" applyFill="1" applyBorder="1" applyAlignment="1">
      <alignment horizontal="center" vertical="center" wrapText="1"/>
    </xf>
    <xf numFmtId="0" fontId="15" fillId="6" borderId="17" xfId="0" applyFont="1" applyFill="1" applyBorder="1" applyAlignment="1">
      <alignment horizontal="center" vertical="center" wrapText="1"/>
    </xf>
    <xf numFmtId="0" fontId="41" fillId="7" borderId="12" xfId="0" applyFont="1" applyFill="1" applyBorder="1" applyAlignment="1">
      <alignment horizontal="center" vertical="center"/>
    </xf>
    <xf numFmtId="0" fontId="41" fillId="7" borderId="29" xfId="0" applyFont="1" applyFill="1" applyBorder="1" applyAlignment="1">
      <alignment horizontal="center" vertical="center"/>
    </xf>
    <xf numFmtId="0" fontId="4" fillId="7" borderId="14" xfId="0" applyFont="1" applyFill="1" applyBorder="1"/>
    <xf numFmtId="0" fontId="3" fillId="7" borderId="30" xfId="0" applyFont="1" applyFill="1" applyBorder="1" applyAlignment="1">
      <alignment horizontal="center"/>
    </xf>
    <xf numFmtId="0" fontId="4" fillId="7" borderId="15" xfId="0" applyFont="1" applyFill="1" applyBorder="1"/>
    <xf numFmtId="0" fontId="4" fillId="5" borderId="15" xfId="0" applyFont="1" applyFill="1" applyBorder="1"/>
    <xf numFmtId="0" fontId="41" fillId="8" borderId="29" xfId="0" applyFont="1" applyFill="1" applyBorder="1" applyAlignment="1">
      <alignment horizontal="center" vertical="center"/>
    </xf>
    <xf numFmtId="0" fontId="4" fillId="8" borderId="14" xfId="0" applyFont="1" applyFill="1" applyBorder="1"/>
    <xf numFmtId="0" fontId="4" fillId="8" borderId="15" xfId="0" applyFont="1" applyFill="1" applyBorder="1"/>
    <xf numFmtId="0" fontId="41" fillId="9" borderId="12" xfId="0" applyFont="1" applyFill="1" applyBorder="1" applyAlignment="1">
      <alignment horizontal="center" vertical="center"/>
    </xf>
    <xf numFmtId="0" fontId="41" fillId="9" borderId="29" xfId="0" applyFont="1" applyFill="1" applyBorder="1" applyAlignment="1">
      <alignment horizontal="center" vertical="center"/>
    </xf>
    <xf numFmtId="0" fontId="4" fillId="9" borderId="14" xfId="0" applyFont="1" applyFill="1" applyBorder="1"/>
    <xf numFmtId="0" fontId="4" fillId="9" borderId="2" xfId="0" applyFont="1" applyFill="1" applyBorder="1"/>
    <xf numFmtId="0" fontId="4" fillId="9" borderId="15" xfId="0" applyFont="1" applyFill="1" applyBorder="1"/>
    <xf numFmtId="0" fontId="13" fillId="5" borderId="11" xfId="0" applyFont="1" applyFill="1" applyBorder="1"/>
    <xf numFmtId="0" fontId="7" fillId="5" borderId="17" xfId="0" applyFont="1" applyFill="1" applyBorder="1"/>
    <xf numFmtId="0" fontId="41" fillId="5" borderId="12" xfId="0" applyFont="1" applyFill="1" applyBorder="1"/>
    <xf numFmtId="0" fontId="4" fillId="5" borderId="13" xfId="0" applyFont="1" applyFill="1" applyBorder="1"/>
    <xf numFmtId="0" fontId="46" fillId="5" borderId="2" xfId="0" applyFont="1" applyFill="1" applyBorder="1" applyAlignment="1">
      <alignment horizontal="center"/>
    </xf>
    <xf numFmtId="0" fontId="14" fillId="8" borderId="11" xfId="0" applyFont="1" applyFill="1" applyBorder="1" applyAlignment="1">
      <alignment horizontal="center" vertical="center" wrapText="1"/>
    </xf>
    <xf numFmtId="0" fontId="14" fillId="8" borderId="17" xfId="0" applyFont="1" applyFill="1" applyBorder="1" applyAlignment="1">
      <alignment horizontal="center" vertical="center" wrapText="1"/>
    </xf>
    <xf numFmtId="0" fontId="14" fillId="7" borderId="11" xfId="0" applyFont="1" applyFill="1" applyBorder="1" applyAlignment="1">
      <alignment horizontal="center" vertical="center" wrapText="1"/>
    </xf>
    <xf numFmtId="0" fontId="14" fillId="7" borderId="17" xfId="0" applyFont="1" applyFill="1" applyBorder="1" applyAlignment="1">
      <alignment horizontal="center" vertical="center" wrapText="1"/>
    </xf>
    <xf numFmtId="0" fontId="13" fillId="8" borderId="2" xfId="0" applyFont="1" applyFill="1" applyBorder="1"/>
    <xf numFmtId="0" fontId="41" fillId="8" borderId="12" xfId="0" applyFont="1" applyFill="1" applyBorder="1" applyAlignment="1"/>
    <xf numFmtId="0" fontId="41" fillId="8" borderId="29" xfId="0" applyFont="1" applyFill="1" applyBorder="1" applyAlignment="1"/>
    <xf numFmtId="0" fontId="4" fillId="8" borderId="14" xfId="0" applyFont="1" applyFill="1" applyBorder="1" applyAlignment="1"/>
    <xf numFmtId="0" fontId="4" fillId="8" borderId="15" xfId="0" applyFont="1" applyFill="1" applyBorder="1" applyAlignment="1"/>
    <xf numFmtId="0" fontId="13" fillId="8" borderId="11" xfId="0" applyFont="1" applyFill="1" applyBorder="1" applyAlignment="1"/>
    <xf numFmtId="0" fontId="13" fillId="8" borderId="17" xfId="0" applyFont="1" applyFill="1" applyBorder="1" applyAlignment="1"/>
    <xf numFmtId="0" fontId="4" fillId="2" borderId="0" xfId="0" applyFont="1" applyFill="1" applyBorder="1" applyAlignment="1"/>
    <xf numFmtId="0" fontId="40" fillId="4" borderId="0" xfId="0" applyFont="1" applyFill="1" applyBorder="1" applyAlignment="1">
      <alignment horizontal="right" vertical="center"/>
    </xf>
    <xf numFmtId="0" fontId="40" fillId="2" borderId="0" xfId="0" applyFont="1" applyFill="1" applyBorder="1" applyAlignment="1">
      <alignment vertical="center"/>
    </xf>
    <xf numFmtId="0" fontId="40" fillId="10" borderId="36" xfId="0" applyFont="1" applyFill="1" applyBorder="1" applyAlignment="1">
      <alignment horizontal="center" vertical="center"/>
    </xf>
    <xf numFmtId="0" fontId="16" fillId="3" borderId="37" xfId="0" applyFont="1" applyFill="1" applyBorder="1" applyAlignment="1"/>
    <xf numFmtId="0" fontId="40" fillId="3" borderId="38" xfId="0" applyFont="1" applyFill="1" applyBorder="1" applyAlignment="1">
      <alignment horizontal="right" vertical="center"/>
    </xf>
    <xf numFmtId="0" fontId="40" fillId="3" borderId="0" xfId="0" applyFont="1" applyFill="1" applyBorder="1" applyAlignment="1">
      <alignment horizontal="right" vertical="center"/>
    </xf>
    <xf numFmtId="0" fontId="40" fillId="3" borderId="13" xfId="0" applyFont="1" applyFill="1" applyBorder="1" applyAlignment="1">
      <alignment horizontal="center" vertical="center"/>
    </xf>
    <xf numFmtId="0" fontId="0" fillId="3" borderId="39" xfId="0" applyFill="1" applyBorder="1" applyAlignment="1"/>
    <xf numFmtId="0" fontId="0" fillId="3" borderId="15" xfId="0" applyFill="1" applyBorder="1" applyAlignment="1"/>
    <xf numFmtId="0" fontId="14" fillId="9" borderId="11" xfId="0" applyFont="1" applyFill="1" applyBorder="1" applyAlignment="1">
      <alignment horizontal="center" vertical="center" wrapText="1"/>
    </xf>
    <xf numFmtId="0" fontId="14" fillId="9" borderId="17" xfId="0" applyFont="1" applyFill="1" applyBorder="1" applyAlignment="1">
      <alignment horizontal="center" vertical="center" wrapText="1"/>
    </xf>
    <xf numFmtId="0" fontId="15" fillId="6" borderId="11" xfId="0" applyFont="1" applyFill="1" applyBorder="1" applyAlignment="1">
      <alignment horizontal="center" vertical="center" wrapText="1"/>
    </xf>
    <xf numFmtId="0" fontId="14" fillId="2" borderId="0" xfId="0" applyFont="1" applyFill="1" applyBorder="1" applyAlignment="1">
      <alignment horizontal="center" vertical="top"/>
    </xf>
    <xf numFmtId="0" fontId="22" fillId="6" borderId="31" xfId="0" applyFont="1" applyFill="1" applyBorder="1" applyAlignment="1">
      <alignment horizontal="center" vertical="center" wrapText="1"/>
    </xf>
    <xf numFmtId="0" fontId="26" fillId="6" borderId="30" xfId="0" applyFont="1" applyFill="1" applyBorder="1" applyAlignment="1">
      <alignment horizontal="center" vertical="center" wrapText="1"/>
    </xf>
    <xf numFmtId="0" fontId="22" fillId="5" borderId="31" xfId="0" applyFont="1" applyFill="1" applyBorder="1" applyAlignment="1">
      <alignment horizontal="center" vertical="center"/>
    </xf>
    <xf numFmtId="0" fontId="22" fillId="7" borderId="31" xfId="0" applyFont="1" applyFill="1" applyBorder="1" applyAlignment="1">
      <alignment horizontal="center" vertical="center" wrapText="1"/>
    </xf>
    <xf numFmtId="0" fontId="22" fillId="8" borderId="31" xfId="0" applyFont="1" applyFill="1" applyBorder="1" applyAlignment="1">
      <alignment horizontal="center" vertical="center"/>
    </xf>
    <xf numFmtId="0" fontId="36" fillId="2" borderId="0" xfId="0" applyFont="1" applyFill="1" applyAlignment="1">
      <alignment vertical="top" wrapText="1"/>
    </xf>
    <xf numFmtId="0" fontId="27" fillId="0" borderId="0" xfId="0" applyFont="1" applyFill="1" applyBorder="1" applyAlignment="1">
      <alignment horizontal="left"/>
    </xf>
    <xf numFmtId="0" fontId="0" fillId="0" borderId="0" xfId="0" quotePrefix="1" applyBorder="1"/>
    <xf numFmtId="0" fontId="22" fillId="2" borderId="0" xfId="0" applyFont="1" applyFill="1" applyBorder="1" applyAlignment="1">
      <alignment horizontal="center" vertical="center"/>
    </xf>
    <xf numFmtId="0" fontId="16" fillId="2" borderId="0" xfId="0" applyFont="1" applyFill="1" applyAlignment="1">
      <alignment vertical="center" wrapText="1"/>
    </xf>
    <xf numFmtId="0" fontId="41" fillId="2" borderId="0" xfId="0" applyFont="1" applyFill="1" applyBorder="1" applyAlignment="1"/>
    <xf numFmtId="0" fontId="41" fillId="2" borderId="0" xfId="0" applyNumberFormat="1" applyFont="1" applyFill="1" applyBorder="1" applyAlignment="1">
      <alignment horizontal="center" vertical="center"/>
    </xf>
    <xf numFmtId="0" fontId="4" fillId="2" borderId="0" xfId="0" applyFont="1" applyFill="1" applyBorder="1" applyAlignment="1">
      <alignment horizontal="center"/>
    </xf>
    <xf numFmtId="0" fontId="22" fillId="9" borderId="31" xfId="0" applyFont="1" applyFill="1" applyBorder="1" applyAlignment="1">
      <alignment horizontal="center" wrapText="1"/>
    </xf>
    <xf numFmtId="0" fontId="4" fillId="0" borderId="0" xfId="0" quotePrefix="1" applyFont="1"/>
    <xf numFmtId="0" fontId="0" fillId="11" borderId="7" xfId="0" applyFill="1" applyBorder="1"/>
    <xf numFmtId="0" fontId="0" fillId="11" borderId="3" xfId="0" applyFill="1" applyBorder="1"/>
    <xf numFmtId="0" fontId="0" fillId="11" borderId="32" xfId="0" applyFill="1" applyBorder="1"/>
    <xf numFmtId="0" fontId="0" fillId="11" borderId="4" xfId="0" applyFill="1" applyBorder="1"/>
    <xf numFmtId="0" fontId="6" fillId="11" borderId="2" xfId="0" applyFont="1" applyFill="1" applyBorder="1" applyAlignment="1">
      <alignment horizontal="left"/>
    </xf>
    <xf numFmtId="0" fontId="0" fillId="11" borderId="2" xfId="0" applyFill="1" applyBorder="1" applyAlignment="1">
      <alignment horizontal="left"/>
    </xf>
    <xf numFmtId="0" fontId="0" fillId="11" borderId="33" xfId="0" applyFill="1" applyBorder="1"/>
    <xf numFmtId="0" fontId="5" fillId="11" borderId="1" xfId="0" applyFont="1" applyFill="1" applyBorder="1"/>
    <xf numFmtId="0" fontId="0" fillId="11" borderId="1" xfId="0" applyFill="1" applyBorder="1" applyAlignment="1">
      <alignment horizontal="center"/>
    </xf>
    <xf numFmtId="0" fontId="0" fillId="11" borderId="1" xfId="0" applyNumberFormat="1" applyFill="1" applyBorder="1" applyAlignment="1">
      <alignment horizontal="center"/>
    </xf>
    <xf numFmtId="0" fontId="5" fillId="11" borderId="0" xfId="0" applyFont="1" applyFill="1" applyBorder="1"/>
    <xf numFmtId="0" fontId="0" fillId="11" borderId="0" xfId="0" applyFill="1" applyBorder="1" applyAlignment="1">
      <alignment horizontal="center"/>
    </xf>
    <xf numFmtId="0" fontId="4" fillId="11" borderId="1" xfId="0" applyFont="1" applyFill="1" applyBorder="1" applyAlignment="1">
      <alignment horizontal="center"/>
    </xf>
    <xf numFmtId="0" fontId="0" fillId="11" borderId="0" xfId="0" applyFill="1" applyBorder="1"/>
    <xf numFmtId="0" fontId="5" fillId="11" borderId="5" xfId="0" applyFont="1" applyFill="1" applyBorder="1" applyAlignment="1">
      <alignment horizontal="center" wrapText="1"/>
    </xf>
    <xf numFmtId="0" fontId="5" fillId="11" borderId="6" xfId="0" applyFont="1" applyFill="1" applyBorder="1" applyAlignment="1">
      <alignment horizontal="center" wrapText="1"/>
    </xf>
    <xf numFmtId="0" fontId="5" fillId="11" borderId="34" xfId="0" applyFont="1" applyFill="1" applyBorder="1" applyAlignment="1">
      <alignment horizontal="center" wrapText="1"/>
    </xf>
    <xf numFmtId="0" fontId="3" fillId="2" borderId="0" xfId="0" applyFont="1" applyFill="1" applyBorder="1" applyAlignment="1">
      <alignment horizontal="center"/>
    </xf>
    <xf numFmtId="0" fontId="9" fillId="2" borderId="0" xfId="0" applyFont="1" applyFill="1"/>
    <xf numFmtId="0" fontId="4" fillId="2" borderId="0" xfId="0" applyFont="1" applyFill="1" applyBorder="1" applyAlignment="1">
      <alignment horizontal="center" wrapText="1"/>
    </xf>
    <xf numFmtId="0" fontId="8" fillId="2" borderId="0" xfId="0" applyFont="1" applyFill="1"/>
    <xf numFmtId="0" fontId="21" fillId="2" borderId="1" xfId="0" applyFont="1" applyFill="1" applyBorder="1" applyAlignment="1">
      <alignment horizontal="center"/>
    </xf>
    <xf numFmtId="0" fontId="22" fillId="2" borderId="1" xfId="0" applyFont="1" applyFill="1" applyBorder="1" applyAlignment="1">
      <alignment horizontal="center"/>
    </xf>
    <xf numFmtId="0" fontId="22" fillId="2" borderId="0" xfId="0" applyFont="1" applyFill="1" applyBorder="1" applyAlignment="1">
      <alignment horizontal="center"/>
    </xf>
    <xf numFmtId="0" fontId="5" fillId="2" borderId="1" xfId="0" applyFont="1" applyFill="1" applyBorder="1" applyAlignment="1">
      <alignment horizontal="center" wrapText="1"/>
    </xf>
    <xf numFmtId="0" fontId="5" fillId="2" borderId="0" xfId="0" applyFont="1" applyFill="1" applyBorder="1" applyAlignment="1">
      <alignment horizontal="center" wrapText="1"/>
    </xf>
    <xf numFmtId="0" fontId="23" fillId="2" borderId="1" xfId="0" applyFont="1" applyFill="1" applyBorder="1" applyAlignment="1">
      <alignment horizontal="center"/>
    </xf>
    <xf numFmtId="164" fontId="16" fillId="2" borderId="1" xfId="1" applyNumberFormat="1" applyFont="1" applyFill="1" applyBorder="1"/>
    <xf numFmtId="164" fontId="16" fillId="2" borderId="1" xfId="0" applyNumberFormat="1" applyFont="1" applyFill="1" applyBorder="1"/>
    <xf numFmtId="164" fontId="16" fillId="2" borderId="0" xfId="0" applyNumberFormat="1" applyFont="1" applyFill="1" applyBorder="1"/>
    <xf numFmtId="0" fontId="5" fillId="2" borderId="1" xfId="0" applyFont="1" applyFill="1" applyBorder="1"/>
    <xf numFmtId="0" fontId="6" fillId="2" borderId="2" xfId="0" applyFont="1" applyFill="1" applyBorder="1" applyAlignment="1">
      <alignment horizontal="left"/>
    </xf>
    <xf numFmtId="0" fontId="0" fillId="2" borderId="2" xfId="0" applyFill="1" applyBorder="1" applyAlignment="1">
      <alignment horizontal="left"/>
    </xf>
    <xf numFmtId="0" fontId="0" fillId="2" borderId="1" xfId="0" applyFill="1" applyBorder="1" applyAlignment="1">
      <alignment horizontal="center"/>
    </xf>
    <xf numFmtId="0" fontId="4" fillId="2" borderId="1" xfId="0" applyFont="1" applyFill="1" applyBorder="1" applyAlignment="1">
      <alignment horizontal="right"/>
    </xf>
    <xf numFmtId="0" fontId="5" fillId="2" borderId="0" xfId="0" applyFont="1" applyFill="1" applyBorder="1"/>
    <xf numFmtId="0" fontId="10" fillId="2" borderId="1" xfId="0" applyFont="1" applyFill="1" applyBorder="1"/>
    <xf numFmtId="0" fontId="23" fillId="2" borderId="31" xfId="0" applyFont="1" applyFill="1" applyBorder="1" applyAlignment="1">
      <alignment horizontal="center" wrapText="1"/>
    </xf>
    <xf numFmtId="0" fontId="16" fillId="2" borderId="0" xfId="0" applyFont="1" applyFill="1"/>
    <xf numFmtId="164" fontId="16" fillId="2" borderId="31" xfId="0" applyNumberFormat="1" applyFont="1" applyFill="1" applyBorder="1"/>
    <xf numFmtId="0" fontId="5" fillId="2" borderId="35" xfId="0" applyFont="1" applyFill="1" applyBorder="1" applyAlignment="1">
      <alignment horizontal="center" wrapText="1"/>
    </xf>
    <xf numFmtId="0" fontId="22" fillId="2" borderId="2" xfId="0" applyFont="1" applyFill="1" applyBorder="1" applyAlignment="1">
      <alignment horizontal="center"/>
    </xf>
    <xf numFmtId="0" fontId="4" fillId="2" borderId="1" xfId="0" applyNumberFormat="1" applyFont="1" applyFill="1" applyBorder="1"/>
    <xf numFmtId="43" fontId="4" fillId="2" borderId="0" xfId="0" applyNumberFormat="1" applyFont="1" applyFill="1" applyBorder="1"/>
    <xf numFmtId="165" fontId="16" fillId="2" borderId="0" xfId="0" applyNumberFormat="1" applyFont="1" applyFill="1"/>
    <xf numFmtId="165" fontId="16" fillId="2" borderId="0" xfId="0" applyNumberFormat="1" applyFont="1" applyFill="1" applyBorder="1"/>
    <xf numFmtId="0" fontId="4" fillId="2" borderId="0" xfId="0" applyFont="1" applyFill="1" applyBorder="1" applyAlignment="1">
      <alignment horizontal="right"/>
    </xf>
    <xf numFmtId="165" fontId="22" fillId="2" borderId="2" xfId="0" applyNumberFormat="1" applyFont="1" applyFill="1" applyBorder="1" applyAlignment="1">
      <alignment horizontal="center"/>
    </xf>
    <xf numFmtId="0" fontId="10" fillId="2" borderId="0" xfId="0" applyFont="1" applyFill="1" applyBorder="1"/>
    <xf numFmtId="0" fontId="23" fillId="2" borderId="0" xfId="0" applyFont="1" applyFill="1" applyBorder="1" applyAlignment="1">
      <alignment horizontal="center" wrapText="1"/>
    </xf>
    <xf numFmtId="0" fontId="4" fillId="2" borderId="9" xfId="0" applyFont="1" applyFill="1" applyBorder="1" applyAlignment="1">
      <alignment horizontal="center"/>
    </xf>
    <xf numFmtId="0" fontId="17" fillId="2" borderId="0" xfId="0" applyFont="1" applyFill="1" applyBorder="1" applyAlignment="1">
      <alignment horizontal="center" wrapText="1"/>
    </xf>
    <xf numFmtId="0" fontId="16" fillId="2" borderId="1" xfId="0" applyFont="1" applyFill="1" applyBorder="1"/>
    <xf numFmtId="0" fontId="9" fillId="2" borderId="0" xfId="0" applyFont="1" applyFill="1" applyBorder="1" applyAlignment="1">
      <alignment horizontal="center" wrapText="1"/>
    </xf>
    <xf numFmtId="0" fontId="9" fillId="2" borderId="0" xfId="0" applyFont="1" applyFill="1" applyBorder="1" applyAlignment="1">
      <alignment horizontal="center"/>
    </xf>
    <xf numFmtId="0" fontId="10" fillId="2" borderId="9" xfId="0" applyFont="1" applyFill="1" applyBorder="1"/>
    <xf numFmtId="0" fontId="4" fillId="2" borderId="0" xfId="0" applyNumberFormat="1" applyFont="1" applyFill="1" applyBorder="1"/>
    <xf numFmtId="166" fontId="16" fillId="2" borderId="1" xfId="0" applyNumberFormat="1" applyFont="1" applyFill="1" applyBorder="1"/>
    <xf numFmtId="165" fontId="16" fillId="2" borderId="1" xfId="0" applyNumberFormat="1" applyFont="1" applyFill="1" applyBorder="1"/>
    <xf numFmtId="0" fontId="5" fillId="2" borderId="9" xfId="0" applyFont="1" applyFill="1" applyBorder="1" applyAlignment="1">
      <alignment horizontal="center" wrapText="1"/>
    </xf>
    <xf numFmtId="0" fontId="5" fillId="2" borderId="1" xfId="0" applyNumberFormat="1" applyFont="1" applyFill="1" applyBorder="1" applyAlignment="1">
      <alignment horizontal="center" wrapText="1"/>
    </xf>
    <xf numFmtId="0" fontId="0" fillId="2" borderId="0" xfId="0" applyNumberFormat="1" applyFill="1" applyBorder="1"/>
    <xf numFmtId="0" fontId="5" fillId="2" borderId="0" xfId="0" applyNumberFormat="1" applyFont="1" applyFill="1" applyBorder="1" applyAlignment="1">
      <alignment horizontal="center" wrapText="1"/>
    </xf>
    <xf numFmtId="165" fontId="16" fillId="2" borderId="1" xfId="1" applyNumberFormat="1" applyFont="1" applyFill="1" applyBorder="1"/>
    <xf numFmtId="0" fontId="8" fillId="2" borderId="0" xfId="0" applyFont="1" applyFill="1" applyBorder="1"/>
    <xf numFmtId="0" fontId="0" fillId="2" borderId="1" xfId="0" applyNumberFormat="1" applyFill="1" applyBorder="1"/>
    <xf numFmtId="0" fontId="5" fillId="2" borderId="0" xfId="0" applyFont="1" applyFill="1"/>
    <xf numFmtId="0" fontId="20" fillId="2" borderId="0" xfId="0" applyFont="1" applyFill="1" applyAlignment="1">
      <alignment horizontal="left" indent="1"/>
    </xf>
    <xf numFmtId="0" fontId="0" fillId="2" borderId="0" xfId="0" applyNumberFormat="1" applyFill="1"/>
    <xf numFmtId="0" fontId="30" fillId="11" borderId="7" xfId="0" applyFont="1" applyFill="1" applyBorder="1"/>
    <xf numFmtId="0" fontId="31" fillId="11" borderId="3" xfId="0" applyFont="1" applyFill="1" applyBorder="1"/>
    <xf numFmtId="0" fontId="13" fillId="11" borderId="4" xfId="0" applyFont="1" applyFill="1" applyBorder="1"/>
    <xf numFmtId="0" fontId="32" fillId="11" borderId="0" xfId="0" applyFont="1" applyFill="1" applyBorder="1"/>
    <xf numFmtId="0" fontId="13" fillId="11" borderId="0" xfId="0" applyFont="1" applyFill="1" applyBorder="1"/>
    <xf numFmtId="0" fontId="13" fillId="11" borderId="0" xfId="0" applyFont="1" applyFill="1" applyBorder="1" applyAlignment="1">
      <alignment horizontal="left" indent="1"/>
    </xf>
    <xf numFmtId="0" fontId="13" fillId="11" borderId="5" xfId="0" applyFont="1" applyFill="1" applyBorder="1"/>
    <xf numFmtId="0" fontId="13" fillId="11" borderId="6" xfId="0" applyFont="1" applyFill="1" applyBorder="1" applyAlignment="1">
      <alignment horizontal="left" indent="1"/>
    </xf>
    <xf numFmtId="0" fontId="13" fillId="11" borderId="6" xfId="0" applyFont="1" applyFill="1" applyBorder="1"/>
    <xf numFmtId="0" fontId="0" fillId="11" borderId="34" xfId="0" applyFill="1" applyBorder="1"/>
    <xf numFmtId="0" fontId="13" fillId="11" borderId="3" xfId="0" applyFont="1" applyFill="1" applyBorder="1"/>
    <xf numFmtId="0" fontId="0" fillId="11" borderId="32" xfId="0" applyNumberFormat="1" applyFill="1" applyBorder="1"/>
    <xf numFmtId="0" fontId="0" fillId="11" borderId="33" xfId="0" applyNumberFormat="1" applyFill="1" applyBorder="1"/>
    <xf numFmtId="0" fontId="0" fillId="11" borderId="6" xfId="0" applyFill="1" applyBorder="1"/>
    <xf numFmtId="0" fontId="0" fillId="11" borderId="34" xfId="0" applyNumberFormat="1" applyFill="1" applyBorder="1"/>
    <xf numFmtId="0" fontId="4" fillId="2" borderId="0" xfId="0" applyFont="1" applyFill="1" applyAlignment="1">
      <alignment wrapText="1"/>
    </xf>
    <xf numFmtId="0" fontId="6" fillId="2" borderId="0" xfId="0" applyFont="1" applyFill="1" applyBorder="1" applyAlignment="1">
      <alignment horizontal="left"/>
    </xf>
    <xf numFmtId="0" fontId="47" fillId="2" borderId="0" xfId="0" applyFont="1" applyFill="1" applyBorder="1" applyAlignment="1">
      <alignment vertical="center"/>
    </xf>
    <xf numFmtId="0" fontId="14" fillId="12" borderId="7" xfId="0" applyFont="1" applyFill="1" applyBorder="1" applyAlignment="1">
      <alignment horizontal="left" indent="1"/>
    </xf>
    <xf numFmtId="0" fontId="0" fillId="12" borderId="3" xfId="0" applyFill="1" applyBorder="1"/>
    <xf numFmtId="0" fontId="13" fillId="12" borderId="3" xfId="0" applyFont="1" applyFill="1" applyBorder="1" applyAlignment="1"/>
    <xf numFmtId="0" fontId="0" fillId="12" borderId="3" xfId="0" applyFill="1" applyBorder="1" applyAlignment="1"/>
    <xf numFmtId="0" fontId="0" fillId="12" borderId="32" xfId="0" applyFill="1" applyBorder="1" applyAlignment="1"/>
    <xf numFmtId="0" fontId="47" fillId="12" borderId="4" xfId="0" applyFont="1" applyFill="1" applyBorder="1" applyAlignment="1">
      <alignment horizontal="left" indent="1"/>
    </xf>
    <xf numFmtId="0" fontId="41" fillId="12" borderId="0" xfId="0" applyFont="1" applyFill="1" applyBorder="1" applyAlignment="1"/>
    <xf numFmtId="0" fontId="47" fillId="12" borderId="0" xfId="0" applyFont="1" applyFill="1" applyBorder="1"/>
    <xf numFmtId="0" fontId="47" fillId="12" borderId="0" xfId="0" applyFont="1" applyFill="1" applyBorder="1" applyAlignment="1">
      <alignment vertical="center"/>
    </xf>
    <xf numFmtId="0" fontId="47" fillId="12" borderId="0" xfId="0" applyFont="1" applyFill="1" applyBorder="1" applyAlignment="1"/>
    <xf numFmtId="0" fontId="47" fillId="12" borderId="33" xfId="0" applyFont="1" applyFill="1" applyBorder="1" applyAlignment="1"/>
    <xf numFmtId="0" fontId="48" fillId="12" borderId="4" xfId="0" applyFont="1" applyFill="1" applyBorder="1" applyAlignment="1">
      <alignment horizontal="left" vertical="top"/>
    </xf>
    <xf numFmtId="0" fontId="47" fillId="12" borderId="0" xfId="0" applyFont="1" applyFill="1" applyBorder="1" applyAlignment="1">
      <alignment vertical="top"/>
    </xf>
    <xf numFmtId="0" fontId="36" fillId="12" borderId="0" xfId="0" applyFont="1" applyFill="1" applyBorder="1" applyAlignment="1">
      <alignment vertical="top"/>
    </xf>
    <xf numFmtId="0" fontId="47" fillId="12" borderId="33" xfId="0" applyFont="1" applyFill="1" applyBorder="1" applyAlignment="1">
      <alignment vertical="top"/>
    </xf>
    <xf numFmtId="0" fontId="47" fillId="12" borderId="6" xfId="0" applyFont="1" applyFill="1" applyBorder="1" applyAlignment="1">
      <alignment vertical="top"/>
    </xf>
    <xf numFmtId="0" fontId="47" fillId="12" borderId="6" xfId="0" applyFont="1" applyFill="1" applyBorder="1" applyAlignment="1">
      <alignment horizontal="center" vertical="top" wrapText="1"/>
    </xf>
    <xf numFmtId="3" fontId="47" fillId="12" borderId="6" xfId="0" applyNumberFormat="1" applyFont="1" applyFill="1" applyBorder="1" applyAlignment="1">
      <alignment horizontal="center" vertical="top"/>
    </xf>
    <xf numFmtId="0" fontId="36" fillId="12" borderId="6" xfId="0" applyFont="1" applyFill="1" applyBorder="1" applyAlignment="1">
      <alignment vertical="top"/>
    </xf>
    <xf numFmtId="0" fontId="47" fillId="12" borderId="34" xfId="0" applyFont="1" applyFill="1" applyBorder="1" applyAlignment="1">
      <alignment vertical="top"/>
    </xf>
    <xf numFmtId="0" fontId="47" fillId="12" borderId="5" xfId="0" applyFont="1" applyFill="1" applyBorder="1" applyAlignment="1">
      <alignment horizontal="left" vertical="top" indent="1"/>
    </xf>
    <xf numFmtId="0" fontId="47" fillId="12" borderId="0" xfId="0" applyFont="1" applyFill="1" applyBorder="1" applyAlignment="1">
      <alignment horizontal="center" wrapText="1"/>
    </xf>
    <xf numFmtId="164" fontId="4" fillId="2" borderId="0" xfId="0" applyNumberFormat="1" applyFont="1" applyFill="1" applyAlignment="1">
      <alignment wrapText="1"/>
    </xf>
    <xf numFmtId="0" fontId="25" fillId="2" borderId="0" xfId="0" applyFont="1" applyFill="1" applyBorder="1"/>
    <xf numFmtId="0" fontId="49" fillId="2" borderId="0" xfId="0" applyFont="1" applyFill="1" applyBorder="1" applyAlignment="1">
      <alignment vertical="center"/>
    </xf>
    <xf numFmtId="0" fontId="41" fillId="2" borderId="0" xfId="0" applyFont="1" applyFill="1" applyBorder="1" applyAlignment="1">
      <alignment vertical="center"/>
    </xf>
    <xf numFmtId="0" fontId="41" fillId="2" borderId="0" xfId="0" applyFont="1" applyFill="1" applyBorder="1" applyAlignment="1">
      <alignment horizontal="center" vertical="center" wrapText="1"/>
    </xf>
    <xf numFmtId="0" fontId="41" fillId="2" borderId="0" xfId="0" applyFont="1" applyFill="1" applyBorder="1"/>
    <xf numFmtId="0" fontId="51" fillId="2" borderId="1" xfId="0" applyFont="1" applyFill="1" applyBorder="1" applyAlignment="1">
      <alignment horizontal="center"/>
    </xf>
    <xf numFmtId="164" fontId="50" fillId="2" borderId="1" xfId="0" applyNumberFormat="1" applyFont="1" applyFill="1" applyBorder="1"/>
    <xf numFmtId="164" fontId="50" fillId="2" borderId="31" xfId="0" applyNumberFormat="1" applyFont="1" applyFill="1" applyBorder="1"/>
    <xf numFmtId="0" fontId="51" fillId="2" borderId="2" xfId="0" applyFont="1" applyFill="1" applyBorder="1" applyAlignment="1">
      <alignment horizontal="center"/>
    </xf>
    <xf numFmtId="0" fontId="50" fillId="2" borderId="0" xfId="0" applyFont="1" applyFill="1"/>
    <xf numFmtId="0" fontId="50" fillId="2" borderId="0" xfId="0" applyFont="1" applyFill="1" applyBorder="1"/>
    <xf numFmtId="0" fontId="1" fillId="0" borderId="0" xfId="4"/>
    <xf numFmtId="167" fontId="52" fillId="0" borderId="2" xfId="1" applyNumberFormat="1" applyFont="1" applyBorder="1" applyAlignment="1">
      <alignment horizontal="center"/>
    </xf>
    <xf numFmtId="167" fontId="52" fillId="0" borderId="2" xfId="4" applyNumberFormat="1" applyFont="1" applyBorder="1" applyAlignment="1">
      <alignment horizontal="center"/>
    </xf>
    <xf numFmtId="0" fontId="53" fillId="0" borderId="2" xfId="4" applyFont="1" applyBorder="1"/>
    <xf numFmtId="167" fontId="52" fillId="0" borderId="40" xfId="1" applyNumberFormat="1" applyFont="1" applyBorder="1" applyAlignment="1">
      <alignment horizontal="center"/>
    </xf>
    <xf numFmtId="0" fontId="53" fillId="0" borderId="40" xfId="4" applyFont="1" applyBorder="1"/>
    <xf numFmtId="0" fontId="53" fillId="0" borderId="6" xfId="4" applyFont="1" applyBorder="1" applyAlignment="1">
      <alignment horizontal="center"/>
    </xf>
    <xf numFmtId="0" fontId="52" fillId="0" borderId="6" xfId="4" applyFont="1" applyBorder="1"/>
    <xf numFmtId="0" fontId="52" fillId="0" borderId="0" xfId="4" applyFont="1"/>
    <xf numFmtId="0" fontId="5" fillId="0" borderId="0" xfId="4" applyFont="1"/>
    <xf numFmtId="168" fontId="52" fillId="0" borderId="2" xfId="1" applyNumberFormat="1" applyFont="1" applyBorder="1" applyAlignment="1">
      <alignment horizontal="center"/>
    </xf>
    <xf numFmtId="169" fontId="52" fillId="0" borderId="2" xfId="4" applyNumberFormat="1" applyFont="1" applyBorder="1" applyAlignment="1">
      <alignment horizontal="center"/>
    </xf>
    <xf numFmtId="168" fontId="52" fillId="0" borderId="0" xfId="1" applyNumberFormat="1" applyFont="1" applyAlignment="1">
      <alignment horizontal="center"/>
    </xf>
    <xf numFmtId="169" fontId="52" fillId="0" borderId="0" xfId="4" applyNumberFormat="1" applyFont="1" applyAlignment="1">
      <alignment horizontal="center"/>
    </xf>
    <xf numFmtId="0" fontId="53" fillId="0" borderId="0" xfId="4" applyFont="1"/>
    <xf numFmtId="0" fontId="36" fillId="2" borderId="0" xfId="0" applyFont="1" applyFill="1" applyAlignment="1">
      <alignment vertical="top" wrapText="1"/>
    </xf>
    <xf numFmtId="0" fontId="36" fillId="2" borderId="0" xfId="0" applyFont="1" applyFill="1" applyAlignment="1">
      <alignment vertical="center" wrapText="1"/>
    </xf>
    <xf numFmtId="0" fontId="14" fillId="2" borderId="0" xfId="0" applyFont="1" applyFill="1" applyBorder="1" applyAlignment="1">
      <alignment horizontal="left" vertical="top" indent="2"/>
    </xf>
    <xf numFmtId="0" fontId="4" fillId="2" borderId="0" xfId="0" applyFont="1" applyFill="1" applyBorder="1" applyAlignment="1">
      <alignment horizontal="left" indent="2"/>
    </xf>
    <xf numFmtId="0" fontId="33" fillId="2" borderId="0" xfId="0" applyFont="1" applyFill="1" applyBorder="1" applyAlignment="1">
      <alignment horizontal="left" vertical="center" indent="5"/>
    </xf>
    <xf numFmtId="0" fontId="33" fillId="2" borderId="0" xfId="0" applyFont="1" applyFill="1" applyBorder="1" applyAlignment="1">
      <alignment horizontal="left" vertical="center" wrapText="1" indent="5"/>
    </xf>
    <xf numFmtId="0" fontId="40" fillId="2" borderId="0" xfId="0" applyFont="1" applyFill="1" applyBorder="1" applyAlignment="1">
      <alignment horizontal="left" vertical="center" wrapText="1" indent="5"/>
    </xf>
    <xf numFmtId="0" fontId="44" fillId="3" borderId="11" xfId="0" applyFont="1" applyFill="1" applyBorder="1" applyAlignment="1">
      <alignment horizontal="center" vertical="center" wrapText="1"/>
    </xf>
    <xf numFmtId="0" fontId="0" fillId="0" borderId="31" xfId="0" applyBorder="1"/>
    <xf numFmtId="0" fontId="0" fillId="0" borderId="17" xfId="0" applyBorder="1"/>
    <xf numFmtId="0" fontId="44" fillId="4" borderId="11" xfId="0" applyFont="1" applyFill="1" applyBorder="1" applyAlignment="1">
      <alignment horizontal="center" vertical="center" wrapText="1"/>
    </xf>
    <xf numFmtId="0" fontId="44" fillId="4" borderId="31" xfId="0" applyFont="1" applyFill="1" applyBorder="1" applyAlignment="1">
      <alignment horizontal="center" vertical="center" wrapText="1"/>
    </xf>
    <xf numFmtId="0" fontId="44" fillId="4" borderId="17" xfId="0" applyFont="1" applyFill="1" applyBorder="1" applyAlignment="1">
      <alignment horizontal="center" vertical="center" wrapText="1"/>
    </xf>
    <xf numFmtId="0" fontId="16" fillId="2" borderId="0" xfId="0" applyFont="1" applyFill="1" applyAlignment="1">
      <alignment vertical="top" wrapText="1"/>
    </xf>
    <xf numFmtId="0" fontId="16" fillId="0" borderId="0" xfId="0" applyFont="1" applyAlignment="1">
      <alignment wrapText="1"/>
    </xf>
    <xf numFmtId="0" fontId="16" fillId="2" borderId="0" xfId="0" applyFont="1" applyFill="1" applyAlignment="1">
      <alignment vertical="center" wrapText="1"/>
    </xf>
    <xf numFmtId="0" fontId="4" fillId="9" borderId="12" xfId="0" applyFont="1" applyFill="1" applyBorder="1" applyAlignment="1">
      <alignment horizontal="center" vertical="center" wrapText="1"/>
    </xf>
    <xf numFmtId="0" fontId="4" fillId="9" borderId="0" xfId="0" applyFont="1" applyFill="1" applyBorder="1" applyAlignment="1">
      <alignment horizontal="center" vertical="center" wrapText="1"/>
    </xf>
    <xf numFmtId="0" fontId="4" fillId="9" borderId="13" xfId="0" applyFont="1" applyFill="1" applyBorder="1" applyAlignment="1">
      <alignment horizontal="center" vertical="center" wrapText="1"/>
    </xf>
    <xf numFmtId="0" fontId="25" fillId="2" borderId="0" xfId="0" applyFont="1" applyFill="1" applyBorder="1" applyAlignment="1">
      <alignment horizontal="left" indent="1"/>
    </xf>
    <xf numFmtId="0" fontId="7" fillId="0" borderId="0" xfId="0" applyFont="1" applyBorder="1" applyAlignment="1">
      <alignment horizontal="left" indent="1"/>
    </xf>
    <xf numFmtId="0" fontId="8" fillId="2" borderId="0" xfId="0" applyFont="1" applyFill="1" applyAlignment="1">
      <alignment horizontal="left"/>
    </xf>
    <xf numFmtId="0" fontId="9" fillId="0" borderId="6" xfId="0" applyFont="1" applyBorder="1" applyAlignment="1">
      <alignment horizontal="center"/>
    </xf>
    <xf numFmtId="0" fontId="53" fillId="0" borderId="0" xfId="4" applyFont="1" applyAlignment="1">
      <alignment horizontal="center"/>
    </xf>
  </cellXfs>
  <cellStyles count="5">
    <cellStyle name="Comma" xfId="1" builtinId="3"/>
    <cellStyle name="Currency" xfId="2" builtinId="4"/>
    <cellStyle name="Hyperlink" xfId="3" builtinId="8"/>
    <cellStyle name="Normal" xfId="0" builtinId="0"/>
    <cellStyle name="Normal 2" xfId="4"/>
  </cellStyles>
  <dxfs count="4">
    <dxf>
      <fill>
        <patternFill>
          <bgColor rgb="FFFFFF00"/>
        </patternFill>
      </fill>
    </dxf>
    <dxf>
      <fill>
        <patternFill>
          <bgColor theme="8" tint="0.79998168889431442"/>
        </patternFill>
      </fill>
    </dxf>
    <dxf>
      <fill>
        <patternFill>
          <bgColor theme="8" tint="0.79998168889431442"/>
        </patternFill>
      </fill>
    </dxf>
    <dxf>
      <numFmt numFmtId="170" formatCode="0.000000000000000"/>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nts%20and%20Settings\jsnarr\Local%20Settings\Temporary%20Internet%20Files\Content.Outlook\49IBRTJG\070209%20Unlocked%20MWAQC%20NOx%20SO2%20CO2%20emissions_calculator%20v12beta.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formation"/>
      <sheetName val="Dashboard"/>
      <sheetName val="Rate Lookup"/>
      <sheetName val="Output Sys. Avg. Rates"/>
      <sheetName val="Non-Baseload Output Rates"/>
      <sheetName val="Rate Reference"/>
      <sheetName val="How to Update Values"/>
    </sheetNames>
    <sheetDataSet>
      <sheetData sheetId="0"/>
      <sheetData sheetId="1"/>
      <sheetData sheetId="2">
        <row r="16">
          <cell r="M16">
            <v>124.91933880275619</v>
          </cell>
        </row>
      </sheetData>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
      <a:majorFont>
        <a:latin typeface="Calibri"/>
        <a:ea typeface=""/>
        <a:cs typeface=""/>
        <a:font script="Jpan" typeface="HGｺﾞｼｯｸM"/>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majorFont>
      <a:minorFont>
        <a:latin typeface="Cambria"/>
        <a:ea typeface=""/>
        <a:cs typeface=""/>
        <a:font script="Jpan" typeface="HG明朝B"/>
        <a:font script="Hang" typeface="맑은 고딕"/>
        <a:font script="Hans" typeface="黑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jking@mwcog.org" TargetMode="External"/></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Sheet1">
    <tabColor theme="3" tint="0.59999389629810485"/>
  </sheetPr>
  <dimension ref="B2:T21"/>
  <sheetViews>
    <sheetView tabSelected="1" workbookViewId="0">
      <selection activeCell="D33" sqref="D33"/>
    </sheetView>
  </sheetViews>
  <sheetFormatPr defaultRowHeight="12.75"/>
  <cols>
    <col min="1" max="1" width="2.28515625" style="2" customWidth="1"/>
    <col min="2" max="2" width="2.42578125" style="2" customWidth="1"/>
    <col min="3" max="16384" width="9.140625" style="2"/>
  </cols>
  <sheetData>
    <row r="2" spans="2:20" ht="15.75">
      <c r="B2" s="22" t="s">
        <v>35</v>
      </c>
    </row>
    <row r="3" spans="2:20" ht="15.75">
      <c r="B3" s="22" t="s">
        <v>36</v>
      </c>
    </row>
    <row r="4" spans="2:20" ht="15.75">
      <c r="B4" s="22" t="s">
        <v>37</v>
      </c>
    </row>
    <row r="6" spans="2:20" ht="15.75">
      <c r="B6" s="22"/>
    </row>
    <row r="7" spans="2:20" ht="18">
      <c r="B7" s="24" t="s">
        <v>42</v>
      </c>
    </row>
    <row r="8" spans="2:20" ht="15.75" customHeight="1">
      <c r="C8" s="378" t="s">
        <v>220</v>
      </c>
      <c r="D8" s="378"/>
      <c r="E8" s="378"/>
      <c r="F8" s="378"/>
      <c r="G8" s="378"/>
      <c r="H8" s="378"/>
      <c r="I8" s="378"/>
      <c r="J8" s="378"/>
      <c r="K8" s="378"/>
      <c r="L8" s="378"/>
      <c r="M8" s="378"/>
      <c r="N8" s="378"/>
      <c r="O8" s="378"/>
      <c r="P8" s="378"/>
      <c r="Q8" s="378"/>
      <c r="R8" s="378"/>
      <c r="S8" s="378"/>
    </row>
    <row r="9" spans="2:20" ht="34.5" customHeight="1">
      <c r="B9" s="232"/>
      <c r="C9" s="378"/>
      <c r="D9" s="378"/>
      <c r="E9" s="378"/>
      <c r="F9" s="378"/>
      <c r="G9" s="378"/>
      <c r="H9" s="378"/>
      <c r="I9" s="378"/>
      <c r="J9" s="378"/>
      <c r="K9" s="378"/>
      <c r="L9" s="378"/>
      <c r="M9" s="378"/>
      <c r="N9" s="378"/>
      <c r="O9" s="378"/>
      <c r="P9" s="378"/>
      <c r="Q9" s="378"/>
      <c r="R9" s="378"/>
      <c r="S9" s="378"/>
    </row>
    <row r="10" spans="2:20" ht="15.75">
      <c r="C10" s="22" t="s">
        <v>218</v>
      </c>
    </row>
    <row r="11" spans="2:20" ht="15.75" customHeight="1">
      <c r="C11" s="379" t="s">
        <v>219</v>
      </c>
      <c r="D11" s="379"/>
      <c r="E11" s="379"/>
      <c r="F11" s="379"/>
      <c r="G11" s="379"/>
      <c r="H11" s="379"/>
      <c r="I11" s="379"/>
      <c r="J11" s="379"/>
      <c r="K11" s="379"/>
      <c r="L11" s="379"/>
      <c r="M11" s="379"/>
      <c r="N11" s="379"/>
      <c r="O11" s="379"/>
      <c r="P11" s="379"/>
      <c r="Q11" s="379"/>
      <c r="R11" s="379"/>
      <c r="S11" s="379"/>
      <c r="T11" s="379"/>
    </row>
    <row r="12" spans="2:20" ht="20.25" customHeight="1">
      <c r="C12" s="379"/>
      <c r="D12" s="379"/>
      <c r="E12" s="379"/>
      <c r="F12" s="379"/>
      <c r="G12" s="379"/>
      <c r="H12" s="379"/>
      <c r="I12" s="379"/>
      <c r="J12" s="379"/>
      <c r="K12" s="379"/>
      <c r="L12" s="379"/>
      <c r="M12" s="379"/>
      <c r="N12" s="379"/>
      <c r="O12" s="379"/>
      <c r="P12" s="379"/>
      <c r="Q12" s="379"/>
      <c r="R12" s="379"/>
      <c r="S12" s="379"/>
      <c r="T12" s="379"/>
    </row>
    <row r="13" spans="2:20" ht="18">
      <c r="B13" s="24" t="s">
        <v>38</v>
      </c>
    </row>
    <row r="14" spans="2:20" ht="15.75">
      <c r="C14" s="26" t="s">
        <v>196</v>
      </c>
    </row>
    <row r="15" spans="2:20" ht="15.75">
      <c r="C15" s="22" t="s">
        <v>197</v>
      </c>
    </row>
    <row r="16" spans="2:20" ht="15.75">
      <c r="C16" s="22" t="s">
        <v>198</v>
      </c>
    </row>
    <row r="18" spans="3:3" ht="15.75">
      <c r="C18" s="25" t="s">
        <v>39</v>
      </c>
    </row>
    <row r="19" spans="3:3" ht="15.75">
      <c r="C19" s="22" t="s">
        <v>40</v>
      </c>
    </row>
    <row r="20" spans="3:3" ht="15.75">
      <c r="C20" s="23" t="s">
        <v>17</v>
      </c>
    </row>
    <row r="21" spans="3:3" ht="15.75">
      <c r="C21" s="22" t="s">
        <v>41</v>
      </c>
    </row>
  </sheetData>
  <mergeCells count="2">
    <mergeCell ref="C8:S9"/>
    <mergeCell ref="C11:T12"/>
  </mergeCells>
  <hyperlinks>
    <hyperlink ref="C20" r:id="rId1" display="mailto:jking@mwcog.org"/>
  </hyperlinks>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Sheet5">
    <tabColor theme="5" tint="-0.249977111117893"/>
  </sheetPr>
  <dimension ref="A1:AI56"/>
  <sheetViews>
    <sheetView topLeftCell="A16" zoomScale="80" zoomScaleNormal="80" workbookViewId="0">
      <selection activeCell="C8" sqref="C8"/>
    </sheetView>
  </sheetViews>
  <sheetFormatPr defaultRowHeight="12.75"/>
  <cols>
    <col min="1" max="1" width="3.28515625" style="3" customWidth="1"/>
    <col min="2" max="2" width="2.140625" style="3" customWidth="1"/>
    <col min="3" max="3" width="24.42578125" style="3" customWidth="1"/>
    <col min="4" max="6" width="2.140625" style="3" customWidth="1"/>
    <col min="7" max="7" width="24.42578125" style="3" customWidth="1"/>
    <col min="8" max="8" width="2.140625" style="3" customWidth="1"/>
    <col min="9" max="9" width="5.140625" style="3" customWidth="1"/>
    <col min="10" max="10" width="24.140625" style="3" customWidth="1"/>
    <col min="11" max="11" width="4.7109375" style="3" customWidth="1"/>
    <col min="12" max="12" width="16.7109375" style="3" customWidth="1"/>
    <col min="13" max="13" width="4.5703125" style="3" customWidth="1"/>
    <col min="14" max="14" width="2.140625" style="3" customWidth="1"/>
    <col min="15" max="15" width="18.28515625" style="3" customWidth="1"/>
    <col min="16" max="16" width="12.85546875" style="3" customWidth="1"/>
    <col min="17" max="17" width="4.42578125" style="3" customWidth="1"/>
    <col min="18" max="18" width="8.5703125" style="3" customWidth="1"/>
    <col min="19" max="19" width="12.28515625" style="3" customWidth="1"/>
    <col min="20" max="20" width="4.28515625" style="3" customWidth="1"/>
    <col min="21" max="21" width="6.28515625" style="3" customWidth="1"/>
    <col min="22" max="22" width="9.140625" style="3"/>
    <col min="23" max="23" width="7.85546875" style="3" customWidth="1"/>
    <col min="24" max="24" width="2.5703125" style="3" customWidth="1"/>
    <col min="25" max="25" width="3" style="3" customWidth="1"/>
    <col min="26" max="16384" width="9.140625" style="3"/>
  </cols>
  <sheetData>
    <row r="1" spans="1:35" ht="31.5" customHeight="1">
      <c r="B1" s="6" t="s">
        <v>12</v>
      </c>
    </row>
    <row r="2" spans="1:35" ht="22.5" customHeight="1">
      <c r="B2" s="4" t="s">
        <v>29</v>
      </c>
      <c r="C2" s="31"/>
      <c r="D2" s="31"/>
      <c r="E2" s="31"/>
      <c r="F2" s="31"/>
      <c r="G2" s="31"/>
      <c r="H2" s="31"/>
      <c r="I2" s="31"/>
      <c r="J2" s="31"/>
      <c r="K2" s="31"/>
      <c r="L2" s="31"/>
      <c r="M2" s="32"/>
      <c r="N2" s="29" t="s">
        <v>190</v>
      </c>
      <c r="O2" s="103"/>
      <c r="P2" s="103"/>
      <c r="Q2" s="107"/>
      <c r="R2" s="107"/>
      <c r="S2" s="380"/>
      <c r="T2" s="380"/>
      <c r="U2" s="380"/>
      <c r="V2" s="381"/>
      <c r="W2" s="381"/>
    </row>
    <row r="3" spans="1:35" ht="49.5" customHeight="1">
      <c r="A3" s="79"/>
      <c r="B3" s="177"/>
      <c r="C3" s="227" t="s">
        <v>13</v>
      </c>
      <c r="D3" s="182"/>
      <c r="F3" s="225"/>
      <c r="G3" s="228" t="s">
        <v>14</v>
      </c>
      <c r="H3" s="182"/>
      <c r="I3" s="141"/>
      <c r="J3" s="141"/>
      <c r="K3" s="141"/>
      <c r="L3" s="141"/>
      <c r="M3" s="141"/>
      <c r="N3" s="385" t="s">
        <v>189</v>
      </c>
      <c r="O3" s="386"/>
      <c r="P3" s="386"/>
      <c r="Q3" s="386"/>
      <c r="R3" s="386"/>
      <c r="S3" s="387"/>
      <c r="T3" s="141"/>
      <c r="U3" s="118"/>
      <c r="V3" s="118"/>
      <c r="W3" s="118"/>
      <c r="X3" s="118"/>
      <c r="Y3" s="118"/>
      <c r="Z3" s="118"/>
      <c r="AA3" s="118"/>
      <c r="AB3" s="118"/>
      <c r="AC3" s="118"/>
      <c r="AD3" s="118"/>
      <c r="AE3" s="118"/>
      <c r="AF3" s="118"/>
      <c r="AG3" s="118"/>
      <c r="AH3" s="118"/>
      <c r="AI3" s="118"/>
    </row>
    <row r="4" spans="1:35" ht="28.5" customHeight="1">
      <c r="A4" s="79"/>
      <c r="B4" s="171"/>
      <c r="C4" s="179">
        <v>1</v>
      </c>
      <c r="D4" s="172"/>
      <c r="F4" s="172"/>
      <c r="G4" s="178" t="s">
        <v>9</v>
      </c>
      <c r="H4" s="173"/>
      <c r="I4" s="141"/>
      <c r="J4" s="141"/>
      <c r="K4" s="141"/>
      <c r="L4" s="141"/>
      <c r="M4" s="141"/>
      <c r="N4" s="217"/>
      <c r="O4" s="216">
        <f>'Rate Reference'!$F$47</f>
        <v>8.09</v>
      </c>
      <c r="P4" s="218" t="str">
        <f>C8</f>
        <v>Pounds</v>
      </c>
      <c r="Q4" s="38"/>
      <c r="R4" s="219" t="s">
        <v>60</v>
      </c>
      <c r="S4" s="220" t="str">
        <f>G4</f>
        <v>MWh</v>
      </c>
      <c r="T4" s="141"/>
      <c r="U4" s="132"/>
      <c r="V4" s="132"/>
      <c r="W4" s="132"/>
      <c r="X4" s="132"/>
      <c r="Y4" s="132"/>
      <c r="Z4" s="132"/>
      <c r="AA4" s="132"/>
      <c r="AB4" s="132"/>
      <c r="AC4" s="132"/>
      <c r="AD4" s="132"/>
      <c r="AE4" s="132"/>
      <c r="AF4" s="132"/>
      <c r="AG4" s="132"/>
      <c r="AH4" s="132"/>
      <c r="AI4" s="132"/>
    </row>
    <row r="5" spans="1:35" ht="11.25" customHeight="1">
      <c r="A5" s="79"/>
      <c r="B5" s="174"/>
      <c r="C5" s="175"/>
      <c r="D5" s="176"/>
      <c r="F5" s="174"/>
      <c r="G5" s="175"/>
      <c r="H5" s="176"/>
      <c r="I5" s="141"/>
      <c r="J5" s="141"/>
      <c r="K5" s="141"/>
      <c r="L5" s="141"/>
      <c r="M5" s="141"/>
      <c r="N5" s="142"/>
      <c r="O5" s="221"/>
      <c r="P5" s="143"/>
      <c r="Q5" s="33"/>
      <c r="R5" s="144"/>
      <c r="S5" s="222"/>
      <c r="T5" s="141"/>
      <c r="U5" s="132"/>
      <c r="V5" s="132"/>
      <c r="W5" s="132"/>
      <c r="X5" s="132"/>
      <c r="Y5" s="132"/>
      <c r="Z5" s="132"/>
      <c r="AA5" s="132"/>
      <c r="AB5" s="132"/>
      <c r="AC5" s="132"/>
      <c r="AD5" s="132"/>
      <c r="AE5" s="132"/>
      <c r="AF5" s="132"/>
      <c r="AG5" s="132"/>
      <c r="AH5" s="132"/>
      <c r="AI5" s="132"/>
    </row>
    <row r="6" spans="1:35" ht="11.25" customHeight="1">
      <c r="I6" s="141"/>
      <c r="J6" s="141"/>
      <c r="K6" s="141"/>
      <c r="L6" s="141"/>
      <c r="M6" s="141"/>
      <c r="T6" s="105"/>
      <c r="U6" s="105"/>
      <c r="V6" s="105"/>
      <c r="W6" s="105"/>
      <c r="X6" s="105"/>
      <c r="Y6" s="105"/>
      <c r="Z6" s="105"/>
      <c r="AA6" s="105"/>
      <c r="AB6" s="105"/>
      <c r="AC6" s="105"/>
      <c r="AD6" s="105"/>
      <c r="AE6" s="105"/>
      <c r="AF6" s="105"/>
      <c r="AG6" s="105"/>
      <c r="AH6" s="105"/>
      <c r="AI6" s="105"/>
    </row>
    <row r="7" spans="1:35" ht="37.5" customHeight="1">
      <c r="B7" s="204"/>
      <c r="C7" s="230" t="s">
        <v>21</v>
      </c>
      <c r="D7" s="205"/>
      <c r="G7" s="235"/>
      <c r="I7" s="147"/>
      <c r="J7" s="141"/>
      <c r="K7" s="141"/>
      <c r="L7" s="141"/>
      <c r="M7" s="141"/>
      <c r="N7" s="388" t="s">
        <v>179</v>
      </c>
      <c r="O7" s="389"/>
      <c r="P7" s="389"/>
      <c r="Q7" s="389"/>
      <c r="R7" s="390"/>
      <c r="S7" s="109"/>
      <c r="T7" s="105"/>
      <c r="U7" s="105"/>
      <c r="V7" s="105"/>
      <c r="W7" s="105"/>
      <c r="X7" s="105"/>
      <c r="Y7" s="105"/>
      <c r="Z7" s="105"/>
      <c r="AA7" s="105"/>
      <c r="AB7" s="105"/>
      <c r="AC7" s="105"/>
      <c r="AD7" s="105"/>
      <c r="AE7" s="105"/>
      <c r="AF7" s="105"/>
      <c r="AG7" s="105"/>
      <c r="AH7" s="105"/>
      <c r="AI7" s="105"/>
    </row>
    <row r="8" spans="1:35" ht="37.5" customHeight="1">
      <c r="B8" s="183"/>
      <c r="C8" s="180" t="s">
        <v>24</v>
      </c>
      <c r="D8" s="184"/>
      <c r="E8" s="226"/>
      <c r="G8" s="104"/>
      <c r="I8" s="213"/>
      <c r="J8" s="141"/>
      <c r="K8" s="141"/>
      <c r="L8" s="141"/>
      <c r="M8" s="141"/>
      <c r="N8" s="145"/>
      <c r="O8" s="216">
        <f>'Rate Reference'!$G$47</f>
        <v>8.09</v>
      </c>
      <c r="P8" s="214" t="str">
        <f>C8</f>
        <v>Pounds</v>
      </c>
      <c r="Q8" s="65"/>
      <c r="R8" s="154"/>
      <c r="S8" s="215"/>
      <c r="T8" s="106"/>
      <c r="U8" s="106"/>
      <c r="V8" s="106"/>
      <c r="W8" s="106"/>
      <c r="X8" s="106"/>
      <c r="Y8" s="106"/>
      <c r="Z8" s="106"/>
      <c r="AA8" s="106"/>
      <c r="AB8" s="106"/>
      <c r="AC8" s="106"/>
      <c r="AD8" s="106"/>
      <c r="AE8" s="106"/>
      <c r="AF8" s="106"/>
      <c r="AG8" s="106"/>
      <c r="AH8" s="106"/>
      <c r="AI8" s="106"/>
    </row>
    <row r="9" spans="1:35" ht="12" customHeight="1">
      <c r="B9" s="185"/>
      <c r="C9" s="186"/>
      <c r="D9" s="187"/>
      <c r="I9" s="213"/>
      <c r="J9" s="116"/>
      <c r="K9" s="116"/>
      <c r="L9" s="116"/>
      <c r="M9" s="115"/>
      <c r="N9" s="146"/>
      <c r="O9" s="54"/>
      <c r="P9" s="54"/>
      <c r="Q9" s="53"/>
      <c r="R9" s="153"/>
      <c r="S9" s="118"/>
      <c r="T9" s="115"/>
      <c r="U9" s="141"/>
      <c r="V9" s="141"/>
      <c r="W9" s="141"/>
      <c r="X9" s="141"/>
      <c r="Y9" s="141"/>
      <c r="Z9" s="141"/>
      <c r="AA9" s="141"/>
      <c r="AB9" s="141"/>
      <c r="AC9" s="141"/>
      <c r="AD9" s="141"/>
      <c r="AE9" s="141"/>
      <c r="AF9" s="141"/>
      <c r="AG9" s="141"/>
      <c r="AH9" s="141"/>
      <c r="AI9" s="141"/>
    </row>
    <row r="10" spans="1:35" ht="17.25" customHeight="1">
      <c r="H10" s="140"/>
      <c r="I10" s="152"/>
      <c r="J10" s="152"/>
      <c r="K10" s="116"/>
      <c r="L10" s="116"/>
      <c r="M10" s="116"/>
      <c r="T10" s="115"/>
      <c r="U10" s="141"/>
      <c r="V10" s="141"/>
      <c r="W10" s="141"/>
      <c r="X10" s="141"/>
      <c r="Y10" s="141"/>
      <c r="Z10" s="141"/>
      <c r="AA10" s="141"/>
      <c r="AB10" s="141"/>
      <c r="AC10" s="141"/>
      <c r="AD10" s="141"/>
      <c r="AE10" s="141"/>
      <c r="AF10" s="141"/>
      <c r="AG10" s="141"/>
      <c r="AH10" s="141"/>
      <c r="AI10" s="141"/>
    </row>
    <row r="11" spans="1:35" ht="39" customHeight="1">
      <c r="B11" s="197"/>
      <c r="C11" s="229" t="s">
        <v>83</v>
      </c>
      <c r="D11" s="198"/>
      <c r="I11" s="112"/>
      <c r="J11" s="112"/>
      <c r="K11" s="111"/>
      <c r="L11" s="352" t="str">
        <f>IF($C$53=TRUE, L52, "")</f>
        <v>Calculations (Rates Taken from "Rate Lookup" Sheet):</v>
      </c>
      <c r="AB11" s="141"/>
      <c r="AC11" s="141"/>
      <c r="AD11" s="141"/>
      <c r="AE11" s="141"/>
      <c r="AF11" s="141"/>
      <c r="AG11" s="141"/>
      <c r="AH11" s="141"/>
      <c r="AI11" s="141"/>
    </row>
    <row r="12" spans="1:35" ht="31.5" customHeight="1">
      <c r="B12" s="199"/>
      <c r="C12" s="181" t="s">
        <v>211</v>
      </c>
      <c r="D12" s="200"/>
      <c r="I12" s="115"/>
      <c r="J12" s="112"/>
      <c r="K12" s="118"/>
      <c r="L12" s="353" t="str">
        <f>IF($C$53=TRUE, L53, "")</f>
        <v>Emissions Rate:</v>
      </c>
      <c r="M12" s="354"/>
      <c r="N12" s="354"/>
      <c r="O12" s="355" t="str">
        <f>IF($C$53=TRUE, O53, " ")</f>
        <v>System Average</v>
      </c>
      <c r="P12" s="354" t="str">
        <f>IF($C$53=TRUE, P53, " ")</f>
        <v>Rate</v>
      </c>
      <c r="Q12" s="354" t="str">
        <f>IF($C$53=TRUE, R53, " ")</f>
        <v>*</v>
      </c>
      <c r="R12" s="354" t="str">
        <f>IF($C$53=TRUE, S53, " ")</f>
        <v>(1 kWh/1000 MWh)</v>
      </c>
      <c r="S12" s="356"/>
      <c r="T12" s="354"/>
      <c r="U12" s="356"/>
      <c r="V12" s="356"/>
      <c r="W12" s="356"/>
      <c r="X12" s="356"/>
      <c r="Y12" s="356"/>
      <c r="Z12" s="356"/>
      <c r="AA12" s="356"/>
      <c r="AB12" s="141"/>
      <c r="AC12" s="141"/>
      <c r="AD12" s="141"/>
      <c r="AE12" s="141"/>
      <c r="AF12" s="141"/>
      <c r="AG12" s="141"/>
      <c r="AH12" s="141"/>
      <c r="AI12" s="141"/>
    </row>
    <row r="13" spans="1:35" ht="11.25" customHeight="1">
      <c r="B13" s="170"/>
      <c r="C13" s="201"/>
      <c r="D13" s="188"/>
      <c r="I13" s="141"/>
      <c r="J13" s="112"/>
      <c r="K13" s="141"/>
      <c r="L13" s="354"/>
      <c r="M13" s="354"/>
      <c r="N13" s="354"/>
      <c r="O13" s="354"/>
      <c r="P13" s="354"/>
      <c r="Q13" s="354"/>
      <c r="R13" s="354"/>
      <c r="S13" s="354"/>
      <c r="T13" s="354"/>
      <c r="U13" s="356"/>
      <c r="V13" s="356"/>
      <c r="W13" s="356"/>
      <c r="X13" s="356"/>
      <c r="Y13" s="356"/>
      <c r="Z13" s="356"/>
      <c r="AA13" s="356"/>
      <c r="AB13" s="141"/>
      <c r="AC13" s="141"/>
      <c r="AD13" s="141"/>
      <c r="AE13" s="141"/>
      <c r="AF13" s="141"/>
      <c r="AG13" s="141"/>
      <c r="AH13" s="141"/>
      <c r="AI13" s="141"/>
    </row>
    <row r="14" spans="1:35" ht="11.25" customHeight="1">
      <c r="H14" s="116"/>
      <c r="I14" s="116"/>
      <c r="J14" s="112"/>
      <c r="K14" s="152"/>
      <c r="L14" s="356"/>
      <c r="M14" s="356"/>
      <c r="N14" s="356"/>
      <c r="O14" s="356"/>
      <c r="P14" s="356"/>
      <c r="Q14" s="356"/>
      <c r="R14" s="356"/>
      <c r="S14" s="356"/>
      <c r="T14" s="356"/>
      <c r="U14" s="356"/>
      <c r="V14" s="356"/>
      <c r="W14" s="356"/>
      <c r="X14" s="356"/>
      <c r="Y14" s="356"/>
      <c r="Z14" s="356"/>
      <c r="AA14" s="356"/>
      <c r="AB14" s="141"/>
      <c r="AC14" s="141"/>
      <c r="AD14" s="141"/>
      <c r="AE14" s="141"/>
      <c r="AF14" s="141"/>
      <c r="AG14" s="141"/>
      <c r="AH14" s="141"/>
      <c r="AI14" s="141"/>
    </row>
    <row r="15" spans="1:35" ht="29.25" customHeight="1">
      <c r="B15" s="223"/>
      <c r="C15" s="240" t="s">
        <v>45</v>
      </c>
      <c r="D15" s="224"/>
      <c r="F15" s="223"/>
      <c r="G15" s="240" t="str">
        <f>IF(H8='Rate Reference'!F3, "Measure Type:", "Region")</f>
        <v>Measure Type:</v>
      </c>
      <c r="H15" s="224"/>
      <c r="J15" s="112"/>
      <c r="K15" s="121"/>
      <c r="L15" s="353" t="str">
        <f>IF($C$53=TRUE, L56, "")</f>
        <v>Emissions:</v>
      </c>
      <c r="M15" s="354"/>
      <c r="N15" s="354"/>
      <c r="O15" s="355" t="str">
        <f>IF($C$53=TRUE, O56, " ")</f>
        <v>System Average</v>
      </c>
      <c r="P15" s="354" t="str">
        <f>IF($C$53=TRUE, P56, " ")</f>
        <v>Rate</v>
      </c>
      <c r="Q15" s="354" t="str">
        <f>IF($C$53=TRUE, R56, " ")</f>
        <v>*</v>
      </c>
      <c r="R15" s="104">
        <f>IF($C$53=TRUE, S56, " ")</f>
        <v>1</v>
      </c>
      <c r="S15" s="354" t="str">
        <f>IF($C$53=TRUE, T56, " ")</f>
        <v>Pounds</v>
      </c>
      <c r="U15" s="354" t="str">
        <f>IF($C$53=TRUE, V56, " ")</f>
        <v>per</v>
      </c>
      <c r="V15" s="354" t="str">
        <f>IF($C$53=TRUE, W56, " ")</f>
        <v>MWh</v>
      </c>
      <c r="W15" s="354" t="str">
        <f>IF($C$53=TRUE, X56, " ")</f>
        <v>*</v>
      </c>
      <c r="X15" s="354" t="str">
        <f>IF($C$53=TRUE, Y56, " ")</f>
        <v>(1 kWh/1000 MWh)</v>
      </c>
      <c r="Z15" s="354"/>
      <c r="AA15" s="354"/>
      <c r="AB15" s="141"/>
      <c r="AC15" s="141"/>
      <c r="AD15" s="141"/>
      <c r="AE15" s="141"/>
      <c r="AF15" s="141"/>
      <c r="AG15" s="141"/>
      <c r="AH15" s="141"/>
      <c r="AI15" s="141"/>
    </row>
    <row r="16" spans="1:35" ht="34.5" customHeight="1">
      <c r="B16" s="394" t="s">
        <v>208</v>
      </c>
      <c r="C16" s="395"/>
      <c r="D16" s="396"/>
      <c r="F16" s="394" t="s">
        <v>209</v>
      </c>
      <c r="G16" s="395"/>
      <c r="H16" s="396"/>
      <c r="I16" s="239"/>
      <c r="J16" s="112"/>
      <c r="K16" s="118"/>
      <c r="L16" s="110"/>
      <c r="M16" s="328"/>
      <c r="N16" s="328"/>
      <c r="O16" s="328"/>
      <c r="P16" s="328"/>
      <c r="Q16" s="328"/>
      <c r="R16" s="328"/>
      <c r="S16" s="328"/>
      <c r="T16" s="328"/>
      <c r="U16" s="328"/>
      <c r="V16" s="328"/>
      <c r="W16" s="328"/>
      <c r="X16" s="328"/>
      <c r="Y16" s="328"/>
      <c r="Z16" s="328"/>
      <c r="AA16" s="328"/>
      <c r="AB16" s="141"/>
      <c r="AC16" s="141"/>
      <c r="AD16" s="141"/>
      <c r="AE16" s="141"/>
      <c r="AF16" s="141"/>
      <c r="AG16" s="141"/>
      <c r="AH16" s="141"/>
      <c r="AI16" s="141"/>
    </row>
    <row r="17" spans="2:35" ht="30.75" customHeight="1">
      <c r="B17" s="192"/>
      <c r="C17" s="180" t="s">
        <v>46</v>
      </c>
      <c r="D17" s="193"/>
      <c r="F17" s="192"/>
      <c r="G17" s="180" t="s">
        <v>1</v>
      </c>
      <c r="H17" s="193"/>
      <c r="J17" s="112"/>
      <c r="K17" s="141"/>
      <c r="L17" s="141"/>
      <c r="M17" s="141"/>
      <c r="T17" s="141"/>
      <c r="U17" s="115"/>
      <c r="V17" s="115"/>
      <c r="W17" s="115"/>
      <c r="X17" s="141"/>
      <c r="Y17" s="141"/>
      <c r="Z17" s="141"/>
      <c r="AA17" s="141"/>
      <c r="AB17" s="141"/>
      <c r="AC17" s="141"/>
      <c r="AD17" s="141"/>
      <c r="AE17" s="141"/>
      <c r="AF17" s="141"/>
      <c r="AG17" s="141"/>
      <c r="AH17" s="141"/>
      <c r="AI17" s="141"/>
    </row>
    <row r="18" spans="2:35" ht="11.25" customHeight="1">
      <c r="B18" s="194"/>
      <c r="C18" s="195"/>
      <c r="D18" s="196"/>
      <c r="F18" s="194"/>
      <c r="G18" s="195"/>
      <c r="H18" s="196"/>
      <c r="I18" s="141"/>
      <c r="J18" s="112"/>
      <c r="K18" s="141"/>
      <c r="L18" s="141"/>
      <c r="M18" s="109"/>
      <c r="T18" s="141"/>
      <c r="U18" s="115"/>
      <c r="V18" s="115"/>
      <c r="W18" s="115"/>
      <c r="X18" s="141"/>
      <c r="Y18" s="141"/>
      <c r="Z18" s="141"/>
      <c r="AA18" s="141"/>
      <c r="AB18" s="141"/>
      <c r="AC18" s="141"/>
      <c r="AD18" s="141"/>
      <c r="AE18" s="141"/>
      <c r="AF18" s="141"/>
      <c r="AG18" s="141"/>
      <c r="AH18" s="141"/>
      <c r="AI18" s="141"/>
    </row>
    <row r="19" spans="2:35" ht="10.5" customHeight="1">
      <c r="B19" s="141"/>
      <c r="C19" s="147"/>
      <c r="D19" s="141"/>
      <c r="E19" s="141"/>
      <c r="F19" s="141"/>
      <c r="G19" s="141"/>
      <c r="H19" s="141"/>
      <c r="I19" s="141"/>
      <c r="J19" s="112"/>
      <c r="K19" s="119" t="str">
        <f>IF(ISBLANK($R$3),"Input User-Defined Emissions Rate",'[1]Rate Lookup'!$M$16)</f>
        <v>Input User-Defined Emissions Rate</v>
      </c>
      <c r="L19" s="141"/>
      <c r="M19" s="120"/>
      <c r="Q19" s="122"/>
      <c r="R19" s="110"/>
      <c r="S19" s="141"/>
      <c r="T19" s="141"/>
      <c r="U19" s="115"/>
      <c r="V19" s="115"/>
      <c r="W19" s="115"/>
      <c r="X19" s="141"/>
      <c r="Y19" s="141"/>
      <c r="Z19" s="141"/>
      <c r="AA19" s="141"/>
      <c r="AB19" s="141"/>
      <c r="AC19" s="141"/>
      <c r="AD19" s="141"/>
      <c r="AE19" s="141"/>
      <c r="AF19" s="141"/>
      <c r="AG19" s="141"/>
      <c r="AH19" s="141"/>
      <c r="AI19" s="141"/>
    </row>
    <row r="20" spans="2:35" ht="32.25" customHeight="1">
      <c r="B20" s="211"/>
      <c r="C20" s="231" t="s">
        <v>16</v>
      </c>
      <c r="D20" s="212"/>
      <c r="F20" s="202"/>
      <c r="G20" s="231" t="s">
        <v>73</v>
      </c>
      <c r="H20" s="203"/>
      <c r="I20" s="118"/>
      <c r="J20" s="117"/>
      <c r="K20" s="124"/>
      <c r="L20" s="141"/>
      <c r="M20" s="104"/>
      <c r="Q20" s="111"/>
      <c r="R20" s="118"/>
      <c r="S20" s="110"/>
      <c r="T20" s="141"/>
      <c r="U20" s="115"/>
      <c r="V20" s="115"/>
      <c r="W20" s="115"/>
      <c r="X20" s="141"/>
      <c r="Y20" s="141"/>
      <c r="Z20" s="141"/>
      <c r="AA20" s="141"/>
      <c r="AB20" s="141"/>
      <c r="AC20" s="141"/>
      <c r="AD20" s="141"/>
      <c r="AE20" s="141"/>
      <c r="AF20" s="141"/>
      <c r="AG20" s="141"/>
      <c r="AH20" s="141"/>
      <c r="AI20" s="141"/>
    </row>
    <row r="21" spans="2:35" ht="30.75" customHeight="1">
      <c r="B21" s="207"/>
      <c r="C21" s="180" t="s">
        <v>238</v>
      </c>
      <c r="D21" s="208"/>
      <c r="E21" s="32"/>
      <c r="F21" s="189"/>
      <c r="G21" s="181" t="s">
        <v>57</v>
      </c>
      <c r="H21" s="189"/>
      <c r="I21" s="118"/>
      <c r="J21" s="119"/>
      <c r="K21" s="120"/>
      <c r="L21" s="120"/>
      <c r="M21" s="112"/>
      <c r="Q21" s="122"/>
      <c r="R21" s="110"/>
      <c r="S21" s="141"/>
      <c r="T21" s="141"/>
      <c r="U21" s="115"/>
      <c r="V21" s="115"/>
      <c r="W21" s="115"/>
      <c r="X21" s="141"/>
      <c r="Y21" s="141"/>
      <c r="Z21" s="141"/>
      <c r="AA21" s="141"/>
      <c r="AB21" s="141"/>
      <c r="AC21" s="141"/>
      <c r="AD21" s="141"/>
      <c r="AE21" s="141"/>
      <c r="AF21" s="141"/>
      <c r="AG21" s="141"/>
      <c r="AH21" s="141"/>
      <c r="AI21" s="141"/>
    </row>
    <row r="22" spans="2:35" ht="10.5" customHeight="1">
      <c r="B22" s="209"/>
      <c r="C22" s="206"/>
      <c r="D22" s="210"/>
      <c r="E22" s="32"/>
      <c r="F22" s="190"/>
      <c r="G22" s="206"/>
      <c r="H22" s="191"/>
      <c r="I22" s="118"/>
      <c r="J22" s="125"/>
      <c r="K22" s="121"/>
      <c r="L22" s="121"/>
      <c r="M22" s="127"/>
      <c r="N22" s="111"/>
      <c r="O22" s="111"/>
      <c r="P22" s="111"/>
      <c r="Q22" s="111"/>
      <c r="R22" s="141"/>
      <c r="S22" s="141"/>
      <c r="T22" s="141"/>
      <c r="U22" s="141"/>
      <c r="V22" s="141"/>
      <c r="W22" s="141"/>
      <c r="X22" s="141"/>
      <c r="Y22" s="141"/>
      <c r="Z22" s="141"/>
      <c r="AA22" s="141"/>
      <c r="AB22" s="141"/>
      <c r="AC22" s="141"/>
      <c r="AD22" s="141"/>
      <c r="AE22" s="141"/>
      <c r="AF22" s="141"/>
      <c r="AG22" s="141"/>
      <c r="AH22" s="141"/>
      <c r="AI22" s="141"/>
    </row>
    <row r="23" spans="2:35" ht="32.25" hidden="1" customHeight="1">
      <c r="H23" s="119"/>
      <c r="I23" s="118"/>
      <c r="J23" s="141"/>
      <c r="K23" s="141"/>
      <c r="L23" s="141"/>
      <c r="M23" s="141"/>
      <c r="N23" s="141"/>
      <c r="O23" s="141"/>
      <c r="P23" s="111"/>
      <c r="Q23" s="122"/>
      <c r="R23" s="110"/>
      <c r="S23" s="141"/>
      <c r="T23" s="141"/>
      <c r="U23" s="141"/>
      <c r="V23" s="141"/>
      <c r="W23" s="141"/>
      <c r="X23" s="141"/>
      <c r="Y23" s="141"/>
      <c r="Z23" s="141"/>
      <c r="AA23" s="141"/>
      <c r="AB23" s="141"/>
      <c r="AC23" s="141"/>
      <c r="AD23" s="141"/>
      <c r="AE23" s="141"/>
      <c r="AF23" s="141"/>
      <c r="AG23" s="141"/>
      <c r="AH23" s="141"/>
      <c r="AI23" s="141"/>
    </row>
    <row r="24" spans="2:35" ht="27.75" customHeight="1">
      <c r="T24" s="141"/>
      <c r="U24" s="141"/>
      <c r="V24" s="141"/>
      <c r="W24" s="141"/>
      <c r="X24" s="141"/>
      <c r="Y24" s="141"/>
      <c r="Z24" s="141"/>
      <c r="AA24" s="141"/>
      <c r="AB24" s="141"/>
      <c r="AC24" s="141"/>
      <c r="AD24" s="141"/>
      <c r="AE24" s="141"/>
      <c r="AF24" s="141"/>
      <c r="AG24" s="141"/>
      <c r="AH24" s="141"/>
      <c r="AI24" s="141"/>
    </row>
    <row r="25" spans="2:35" ht="37.5" customHeight="1">
      <c r="C25" s="397" t="s">
        <v>194</v>
      </c>
      <c r="D25" s="397"/>
      <c r="E25" s="397"/>
      <c r="F25" s="398"/>
      <c r="G25" s="398"/>
      <c r="H25" s="2"/>
      <c r="I25" s="2"/>
      <c r="J25" s="2"/>
      <c r="K25" s="2"/>
      <c r="L25" s="2"/>
      <c r="M25" s="2"/>
      <c r="N25" s="2"/>
      <c r="O25" s="2"/>
      <c r="P25" s="2"/>
      <c r="Q25" s="2"/>
      <c r="R25" s="2"/>
      <c r="S25" s="2"/>
    </row>
    <row r="26" spans="2:35" ht="44.25" customHeight="1">
      <c r="C26" s="391" t="s">
        <v>205</v>
      </c>
      <c r="D26" s="391"/>
      <c r="E26" s="391"/>
      <c r="F26" s="391"/>
      <c r="G26" s="391"/>
      <c r="H26" s="391"/>
      <c r="I26" s="391"/>
      <c r="J26" s="391"/>
      <c r="K26" s="391"/>
      <c r="L26" s="391"/>
      <c r="M26" s="391"/>
      <c r="N26" s="391"/>
      <c r="O26" s="391"/>
      <c r="P26" s="391"/>
      <c r="Q26" s="391"/>
      <c r="R26" s="391"/>
      <c r="S26" s="391"/>
    </row>
    <row r="27" spans="2:35" ht="5.25" customHeight="1">
      <c r="C27" s="392" t="s">
        <v>195</v>
      </c>
      <c r="D27" s="392"/>
      <c r="E27" s="392"/>
      <c r="F27" s="392"/>
      <c r="G27" s="392"/>
      <c r="H27" s="392"/>
      <c r="I27" s="392"/>
      <c r="J27" s="392"/>
      <c r="K27" s="392"/>
      <c r="L27" s="392"/>
      <c r="M27" s="392"/>
      <c r="N27" s="392"/>
      <c r="O27" s="392"/>
      <c r="P27" s="392"/>
      <c r="Q27" s="392"/>
      <c r="R27" s="392"/>
      <c r="S27" s="392"/>
    </row>
    <row r="28" spans="2:35" ht="39.75" customHeight="1">
      <c r="C28" s="392"/>
      <c r="D28" s="392"/>
      <c r="E28" s="392"/>
      <c r="F28" s="392"/>
      <c r="G28" s="392"/>
      <c r="H28" s="392"/>
      <c r="I28" s="392"/>
      <c r="J28" s="392"/>
      <c r="K28" s="392"/>
      <c r="L28" s="392"/>
      <c r="M28" s="392"/>
      <c r="N28" s="392"/>
      <c r="O28" s="392"/>
      <c r="P28" s="392"/>
      <c r="Q28" s="392"/>
      <c r="R28" s="392"/>
      <c r="S28" s="392"/>
    </row>
    <row r="29" spans="2:35" ht="53.25" customHeight="1">
      <c r="C29" s="393" t="s">
        <v>206</v>
      </c>
      <c r="D29" s="393"/>
      <c r="E29" s="393"/>
      <c r="F29" s="393"/>
      <c r="G29" s="393"/>
      <c r="H29" s="393"/>
      <c r="I29" s="393"/>
      <c r="J29" s="393"/>
      <c r="K29" s="393"/>
      <c r="L29" s="393"/>
      <c r="M29" s="393"/>
      <c r="N29" s="393"/>
      <c r="O29" s="393"/>
      <c r="P29" s="393"/>
      <c r="Q29" s="393"/>
      <c r="R29" s="393"/>
      <c r="S29" s="393"/>
    </row>
    <row r="30" spans="2:35" ht="12.75" customHeight="1">
      <c r="C30" s="236"/>
      <c r="D30" s="236"/>
      <c r="E30" s="236"/>
      <c r="F30" s="236"/>
      <c r="G30" s="236"/>
      <c r="H30" s="236"/>
      <c r="I30" s="236"/>
      <c r="J30" s="236"/>
      <c r="K30" s="236"/>
      <c r="L30" s="236"/>
      <c r="M30" s="236"/>
      <c r="N30" s="236"/>
      <c r="O30" s="236"/>
      <c r="P30" s="236"/>
      <c r="Q30" s="236"/>
      <c r="R30" s="236"/>
      <c r="S30" s="236"/>
    </row>
    <row r="31" spans="2:35" ht="5.25" hidden="1" customHeight="1">
      <c r="H31" s="119"/>
      <c r="I31" s="118"/>
      <c r="J31" s="119"/>
      <c r="K31" s="382"/>
      <c r="L31" s="382"/>
      <c r="M31" s="112"/>
      <c r="N31" s="112"/>
      <c r="O31" s="120"/>
      <c r="P31" s="111"/>
      <c r="Q31" s="115"/>
      <c r="R31" s="110"/>
    </row>
    <row r="32" spans="2:35" ht="0.75" hidden="1" customHeight="1">
      <c r="B32" s="123"/>
      <c r="C32" s="123"/>
      <c r="D32" s="123"/>
      <c r="E32" s="118"/>
      <c r="F32" s="118"/>
      <c r="G32" s="123"/>
      <c r="H32" s="125"/>
      <c r="I32" s="118"/>
      <c r="J32" s="125"/>
      <c r="K32" s="126"/>
      <c r="L32" s="126"/>
      <c r="M32" s="127"/>
      <c r="N32" s="111"/>
      <c r="O32" s="111"/>
      <c r="P32" s="111"/>
      <c r="Q32" s="115"/>
      <c r="R32" s="114"/>
    </row>
    <row r="33" spans="2:19" ht="9" hidden="1" customHeight="1">
      <c r="B33" s="118"/>
      <c r="C33" s="9" t="s">
        <v>57</v>
      </c>
      <c r="D33" t="s">
        <v>57</v>
      </c>
      <c r="E33" s="238" t="s">
        <v>57</v>
      </c>
      <c r="F33" s="118"/>
      <c r="G33" s="117"/>
      <c r="H33" s="119"/>
      <c r="I33" s="118"/>
      <c r="J33" s="119"/>
      <c r="K33" s="383"/>
      <c r="L33" s="383"/>
      <c r="M33" s="112"/>
      <c r="N33" s="112"/>
      <c r="O33" s="120"/>
      <c r="P33" s="111"/>
      <c r="Q33" s="130"/>
      <c r="R33" s="110"/>
    </row>
    <row r="34" spans="2:19" ht="11.25" hidden="1" customHeight="1">
      <c r="B34" s="123"/>
      <c r="C34" s="9" t="s">
        <v>0</v>
      </c>
      <c r="D34"/>
      <c r="E34" s="123"/>
      <c r="F34" s="118"/>
      <c r="G34" s="123"/>
      <c r="H34" s="125"/>
      <c r="I34" s="118"/>
      <c r="J34" s="125"/>
      <c r="K34" s="126"/>
      <c r="L34" s="126"/>
      <c r="M34" s="112"/>
      <c r="N34" s="111"/>
      <c r="O34" s="111"/>
      <c r="P34" s="111"/>
      <c r="Q34" s="115"/>
      <c r="R34" s="113"/>
      <c r="S34" s="110"/>
    </row>
    <row r="35" spans="2:19" ht="12" hidden="1" customHeight="1">
      <c r="B35" s="118"/>
      <c r="C35"/>
      <c r="D35"/>
      <c r="E35" s="117"/>
      <c r="F35" s="118"/>
      <c r="G35" s="117"/>
      <c r="H35" s="119"/>
      <c r="I35" s="118"/>
      <c r="J35" s="119"/>
      <c r="K35" s="384"/>
      <c r="L35" s="384"/>
      <c r="M35" s="112"/>
      <c r="N35" s="112"/>
      <c r="O35" s="120"/>
      <c r="P35" s="111"/>
      <c r="R35" s="128"/>
    </row>
    <row r="36" spans="2:19" ht="14.25" hidden="1">
      <c r="B36" s="129"/>
      <c r="C36" s="233" t="s">
        <v>1</v>
      </c>
      <c r="D36" t="s">
        <v>202</v>
      </c>
      <c r="E36" s="237" t="s">
        <v>202</v>
      </c>
      <c r="F36" s="118"/>
      <c r="G36" s="129"/>
      <c r="H36" s="118"/>
      <c r="I36" s="118"/>
      <c r="J36" s="118"/>
      <c r="K36" s="129"/>
      <c r="L36" s="118"/>
      <c r="M36" s="108"/>
      <c r="N36" s="129"/>
      <c r="O36" s="129"/>
      <c r="P36" s="129"/>
      <c r="R36" s="108"/>
      <c r="S36" s="110"/>
    </row>
    <row r="37" spans="2:19" hidden="1">
      <c r="C37" s="233" t="s">
        <v>2</v>
      </c>
      <c r="D37"/>
    </row>
    <row r="38" spans="2:19" hidden="1">
      <c r="C38" s="233" t="s">
        <v>5</v>
      </c>
      <c r="D38"/>
    </row>
    <row r="39" spans="2:19" hidden="1">
      <c r="C39" s="233" t="s">
        <v>3</v>
      </c>
      <c r="D39"/>
    </row>
    <row r="40" spans="2:19" hidden="1">
      <c r="C40" s="233" t="s">
        <v>4</v>
      </c>
      <c r="D40"/>
    </row>
    <row r="41" spans="2:19" hidden="1">
      <c r="C41" s="233" t="s">
        <v>6</v>
      </c>
      <c r="D41"/>
    </row>
    <row r="42" spans="2:19" hidden="1">
      <c r="C42"/>
      <c r="D42"/>
    </row>
    <row r="43" spans="2:19" hidden="1">
      <c r="D43" t="s">
        <v>202</v>
      </c>
      <c r="E43" s="35" t="s">
        <v>46</v>
      </c>
      <c r="F43" s="35" t="s">
        <v>46</v>
      </c>
    </row>
    <row r="44" spans="2:19" hidden="1">
      <c r="D44"/>
      <c r="E44" s="35" t="s">
        <v>47</v>
      </c>
      <c r="F44" s="35" t="s">
        <v>47</v>
      </c>
    </row>
    <row r="45" spans="2:19" hidden="1">
      <c r="D45"/>
      <c r="E45" s="35" t="s">
        <v>68</v>
      </c>
      <c r="F45" s="35" t="s">
        <v>68</v>
      </c>
    </row>
    <row r="46" spans="2:19" hidden="1">
      <c r="D46"/>
      <c r="E46" s="35" t="s">
        <v>62</v>
      </c>
      <c r="F46" s="35" t="s">
        <v>62</v>
      </c>
    </row>
    <row r="47" spans="2:19" hidden="1">
      <c r="D47"/>
      <c r="E47" s="35" t="s">
        <v>53</v>
      </c>
      <c r="F47" s="35" t="s">
        <v>53</v>
      </c>
    </row>
    <row r="48" spans="2:19" hidden="1">
      <c r="D48"/>
      <c r="E48" s="35" t="s">
        <v>48</v>
      </c>
      <c r="F48" s="35" t="s">
        <v>48</v>
      </c>
    </row>
    <row r="49" spans="3:27" hidden="1">
      <c r="D49"/>
      <c r="E49" s="35" t="s">
        <v>52</v>
      </c>
      <c r="F49" s="35" t="s">
        <v>52</v>
      </c>
    </row>
    <row r="50" spans="3:27" hidden="1"/>
    <row r="51" spans="3:27" ht="13.5" hidden="1" thickBot="1"/>
    <row r="52" spans="3:27" ht="16.5" hidden="1" thickTop="1">
      <c r="C52" s="77"/>
      <c r="L52" s="329" t="s">
        <v>236</v>
      </c>
      <c r="M52" s="330"/>
      <c r="N52" s="330"/>
      <c r="O52" s="330"/>
      <c r="P52" s="330"/>
      <c r="Q52" s="330"/>
      <c r="R52" s="330"/>
      <c r="S52" s="330"/>
      <c r="T52" s="331"/>
      <c r="U52" s="332"/>
      <c r="V52" s="332"/>
      <c r="W52" s="332"/>
      <c r="X52" s="332"/>
      <c r="Y52" s="332"/>
      <c r="Z52" s="332"/>
      <c r="AA52" s="333"/>
    </row>
    <row r="53" spans="3:27" ht="14.25" hidden="1">
      <c r="C53" s="77" t="b">
        <v>1</v>
      </c>
      <c r="L53" s="334" t="s">
        <v>237</v>
      </c>
      <c r="M53" s="335"/>
      <c r="N53" s="336"/>
      <c r="O53" s="350" t="str">
        <f>C12</f>
        <v>System Average</v>
      </c>
      <c r="P53" s="337" t="s">
        <v>235</v>
      </c>
      <c r="Q53" s="337"/>
      <c r="R53" s="337" t="str">
        <f>IF(G4="MWh", "*", " ")</f>
        <v>*</v>
      </c>
      <c r="S53" s="337" t="str">
        <f>IF(G4="MWh", "(1 kWh/1000 MWh)", " ")</f>
        <v>(1 kWh/1000 MWh)</v>
      </c>
      <c r="T53" s="337"/>
      <c r="U53" s="337"/>
      <c r="V53" s="337"/>
      <c r="W53" s="337"/>
      <c r="X53" s="337"/>
      <c r="Y53" s="338"/>
      <c r="Z53" s="338"/>
      <c r="AA53" s="339"/>
    </row>
    <row r="54" spans="3:27" hidden="1">
      <c r="C54" s="77"/>
      <c r="L54" s="334"/>
      <c r="M54" s="338"/>
      <c r="N54" s="336"/>
      <c r="O54" s="336"/>
      <c r="P54" s="336"/>
      <c r="Q54" s="336"/>
      <c r="R54" s="336"/>
      <c r="S54" s="336"/>
      <c r="T54" s="336"/>
      <c r="U54" s="338"/>
      <c r="V54" s="338"/>
      <c r="W54" s="338"/>
      <c r="X54" s="338"/>
      <c r="Y54" s="338"/>
      <c r="Z54" s="338"/>
      <c r="AA54" s="339"/>
    </row>
    <row r="55" spans="3:27" ht="15.75" hidden="1">
      <c r="C55" s="77"/>
      <c r="L55" s="340"/>
      <c r="M55" s="341"/>
      <c r="N55" s="341"/>
      <c r="O55" s="341"/>
      <c r="P55" s="341"/>
      <c r="Q55" s="341"/>
      <c r="R55" s="341"/>
      <c r="S55" s="341"/>
      <c r="T55" s="342"/>
      <c r="U55" s="341"/>
      <c r="V55" s="341"/>
      <c r="W55" s="341"/>
      <c r="X55" s="341"/>
      <c r="Y55" s="341"/>
      <c r="Z55" s="341"/>
      <c r="AA55" s="343"/>
    </row>
    <row r="56" spans="3:27" ht="16.5" hidden="1" thickBot="1">
      <c r="C56" s="77"/>
      <c r="L56" s="349" t="s">
        <v>183</v>
      </c>
      <c r="M56" s="344"/>
      <c r="N56" s="344"/>
      <c r="O56" s="345" t="str">
        <f>C12</f>
        <v>System Average</v>
      </c>
      <c r="P56" s="344" t="s">
        <v>235</v>
      </c>
      <c r="Q56" s="344"/>
      <c r="R56" s="344" t="s">
        <v>234</v>
      </c>
      <c r="S56" s="346">
        <f>C4</f>
        <v>1</v>
      </c>
      <c r="T56" s="344" t="str">
        <f>C8</f>
        <v>Pounds</v>
      </c>
      <c r="U56" s="344"/>
      <c r="V56" s="344" t="s">
        <v>60</v>
      </c>
      <c r="W56" s="344" t="str">
        <f>G4</f>
        <v>MWh</v>
      </c>
      <c r="X56" s="347" t="str">
        <f>IF(G4="MWh", "*", " ")</f>
        <v>*</v>
      </c>
      <c r="Y56" s="344" t="str">
        <f>IF(G4="MWh", "(1 kWh/1000 MWh)", " ")</f>
        <v>(1 kWh/1000 MWh)</v>
      </c>
      <c r="Z56" s="344"/>
      <c r="AA56" s="348"/>
    </row>
  </sheetData>
  <dataConsolidate/>
  <mergeCells count="12">
    <mergeCell ref="S2:W2"/>
    <mergeCell ref="K31:L31"/>
    <mergeCell ref="K33:L33"/>
    <mergeCell ref="K35:L35"/>
    <mergeCell ref="N3:S3"/>
    <mergeCell ref="N7:R7"/>
    <mergeCell ref="C26:S26"/>
    <mergeCell ref="C27:S28"/>
    <mergeCell ref="C29:S29"/>
    <mergeCell ref="B16:D16"/>
    <mergeCell ref="F16:H16"/>
    <mergeCell ref="C25:G25"/>
  </mergeCells>
  <conditionalFormatting sqref="Q8 J31:J35 K19:K22 H23 B34 C32:C35 B32 G32:G35 L32 N31:O35 N22:O22 P34 D34 E33:E35 K34:L34 D32 J20:J22 K15 H31:H35 K31:K32 L22">
    <cfRule type="cellIs" dxfId="3" priority="9" stopIfTrue="1" operator="lessThan">
      <formula>0.00001</formula>
    </cfRule>
  </conditionalFormatting>
  <conditionalFormatting sqref="L11:R15 S11 S13:S15 Z11:AA15 U15:X15 T11:Y14">
    <cfRule type="expression" dxfId="2" priority="2" stopIfTrue="1">
      <formula>IF($C$53=TRUE, $L$11:$AA$15)</formula>
    </cfRule>
  </conditionalFormatting>
  <conditionalFormatting sqref="C53">
    <cfRule type="expression" dxfId="1" priority="1" stopIfTrue="1">
      <formula>IF($C$53="TRUE", $L$11:$AA$15)</formula>
    </cfRule>
  </conditionalFormatting>
  <dataValidations count="12">
    <dataValidation allowBlank="1" showErrorMessage="1" sqref="C9"/>
    <dataValidation type="list" allowBlank="1" showInputMessage="1" showErrorMessage="1" errorTitle="Invalid Entry" error="Please select the avoided emissions rate unit from the dropdown list." promptTitle="Emissions Reduction Rate Type" prompt="Select the avoided emissions rate unit you would like to output." sqref="C8">
      <formula1>'Rate Lookup'!$I$116:$I$118</formula1>
    </dataValidation>
    <dataValidation type="list" showInputMessage="1" promptTitle="Rate Type" prompt="Select the rate type you would like to output, or input a user-defined rate. Refer to the 'Rate Lookup' sheet to view possible rates." sqref="C12">
      <formula1>'Rate Reference'!$A$3:$A$5</formula1>
    </dataValidation>
    <dataValidation type="list" allowBlank="1" showInputMessage="1" showErrorMessage="1" errorTitle="Invalid Entry" error="Please select the measure type from the dropdown list." promptTitle="Measure Type" prompt="If you chose the time matched marginal rate, select a measure type to output the emissions rate and emissions from. " sqref="G17">
      <formula1>Time_Matched_Marginal</formula1>
    </dataValidation>
    <dataValidation type="list" allowBlank="1" showInputMessage="1" showErrorMessage="1" errorTitle="Invalid Entry" error="Please select the pollutant from the dropdown menu that you would like emissions from." promptTitle="Pollutant" prompt="Select the pollutant you would like to view the emission rate and emissions from." sqref="C21">
      <formula1>'Rate Reference'!$A$8:$A$10</formula1>
    </dataValidation>
    <dataValidation type="list" showInputMessage="1" showErrorMessage="1" errorTitle="Invalid Entry" error="Please select the time period from the dropdown menu." promptTitle="Time Period" prompt="If you chose NOx as your pollutant, choose the time period you would like to view the emission rate and emissions from (default for CO2 and SO2 is Annual)." sqref="G21">
      <formula1>INDIRECT($C$21)</formula1>
    </dataValidation>
    <dataValidation allowBlank="1" errorTitle="Error" error="Please Reenter Energy Type." promptTitle="Type" prompt="Select Energy Type." sqref="G3"/>
    <dataValidation type="list" allowBlank="1" showInputMessage="1" showErrorMessage="1" errorTitle="Invalid Entry" error="Please select the electricity savings unit from the dropdown list." promptTitle="Electricity Savings Unit" prompt="Select the energy savings unit you would like to output." sqref="G4">
      <formula1>ElectricitySavingsUnit</formula1>
    </dataValidation>
    <dataValidation operator="greaterThan" allowBlank="1" showErrorMessage="1" sqref="O8 O4"/>
    <dataValidation type="decimal" operator="greaterThan" allowBlank="1" showInputMessage="1" showErrorMessage="1" error="Please enter an avoided emissions rate greater than zero." promptTitle="User-Defined Rate" prompt="Input your own emissions rate for the parameters specified. Refer to the 'Rate Lookup' sheet to view possible rates." sqref="G8">
      <formula1>0</formula1>
    </dataValidation>
    <dataValidation type="decimal" operator="greaterThan" allowBlank="1" showInputMessage="1" showErrorMessage="1" errorTitle="Invalid Entry" error="Please Reenter your Electricity Savings. The number must be positive." promptTitle="Electricity Savings" prompt="Enter your electricity savings, per unit energy." sqref="C4">
      <formula1>0</formula1>
    </dataValidation>
    <dataValidation type="list" allowBlank="1" showInputMessage="1" showErrorMessage="1" errorTitle="Invalid Entry" error="Please select the region from the dropdown list." promptTitle="Region" prompt="If you chose the non-baseload or system average rate, select the region to output the emissions rate and emissions from." sqref="C17">
      <formula1>System_Average</formula1>
    </dataValidation>
  </dataValidation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sheetPr codeName="Sheet18">
    <tabColor theme="6" tint="-0.249977111117893"/>
  </sheetPr>
  <dimension ref="A1:AF240"/>
  <sheetViews>
    <sheetView view="pageBreakPreview" zoomScale="85" zoomScaleNormal="75" zoomScaleSheetLayoutView="85" workbookViewId="0">
      <selection activeCell="C116" sqref="C116"/>
    </sheetView>
  </sheetViews>
  <sheetFormatPr defaultRowHeight="12.75"/>
  <cols>
    <col min="1" max="1" width="6.42578125" style="12" customWidth="1"/>
    <col min="2" max="2" width="12.5703125" style="12" customWidth="1"/>
    <col min="3" max="3" width="33.5703125" style="12" customWidth="1"/>
    <col min="4" max="4" width="33.140625" style="12" customWidth="1"/>
    <col min="5" max="5" width="32.42578125" style="12" customWidth="1"/>
    <col min="6" max="6" width="35.140625" style="12" customWidth="1"/>
    <col min="7" max="7" width="2" style="12" customWidth="1"/>
    <col min="8" max="8" width="1.85546875" style="12" customWidth="1"/>
    <col min="9" max="10" width="28.28515625" style="12" customWidth="1"/>
    <col min="11" max="11" width="18" style="12" customWidth="1"/>
    <col min="12" max="13" width="28.28515625" style="12" customWidth="1"/>
    <col min="14" max="14" width="5.7109375" style="12" customWidth="1"/>
    <col min="15" max="15" width="3.85546875" style="12" customWidth="1"/>
    <col min="16" max="16" width="27.42578125" style="12" customWidth="1"/>
    <col min="17" max="17" width="15" style="12" customWidth="1"/>
    <col min="18" max="18" width="4.7109375" style="12" customWidth="1"/>
    <col min="19" max="19" width="29.28515625" style="12" bestFit="1" customWidth="1"/>
    <col min="20" max="20" width="17.5703125" style="12" customWidth="1"/>
    <col min="21" max="21" width="13.85546875" style="13" customWidth="1"/>
    <col min="22" max="16384" width="9.140625" style="12"/>
  </cols>
  <sheetData>
    <row r="1" spans="1:32">
      <c r="A1" s="2"/>
      <c r="B1" s="69"/>
      <c r="C1" s="2"/>
      <c r="D1" s="2"/>
      <c r="E1" s="2"/>
      <c r="F1" s="2"/>
      <c r="G1" s="2"/>
      <c r="H1" s="2"/>
      <c r="I1" s="2"/>
      <c r="J1" s="2"/>
      <c r="K1" s="2"/>
      <c r="L1" s="2"/>
      <c r="M1" s="2"/>
      <c r="N1" s="2"/>
      <c r="O1" s="2"/>
      <c r="P1" s="2"/>
      <c r="Q1" s="2"/>
      <c r="R1" s="2"/>
      <c r="S1" s="2"/>
      <c r="T1" s="2"/>
      <c r="U1" s="310"/>
      <c r="V1" s="2"/>
      <c r="W1" s="2"/>
      <c r="X1" s="2"/>
      <c r="Y1" s="2"/>
      <c r="Z1" s="2"/>
      <c r="AA1" s="2"/>
      <c r="AB1" s="2"/>
      <c r="AC1" s="2"/>
      <c r="AD1" s="2"/>
      <c r="AE1" s="2"/>
      <c r="AF1" s="2"/>
    </row>
    <row r="2" spans="1:32" ht="20.25">
      <c r="A2" s="309" t="s">
        <v>215</v>
      </c>
      <c r="B2" s="259"/>
      <c r="C2" s="2"/>
      <c r="D2" s="2"/>
      <c r="E2" s="2"/>
      <c r="F2" s="2"/>
      <c r="G2" s="2"/>
      <c r="H2" s="2"/>
      <c r="I2" s="2"/>
      <c r="J2" s="2"/>
      <c r="K2" s="2"/>
      <c r="L2" s="2"/>
      <c r="M2" s="2"/>
      <c r="N2" s="2"/>
      <c r="O2" s="2"/>
      <c r="P2" s="2"/>
      <c r="Q2" s="2"/>
      <c r="R2" s="2"/>
      <c r="S2" s="2"/>
      <c r="T2" s="399"/>
      <c r="U2" s="399"/>
      <c r="V2" s="2"/>
      <c r="W2" s="2"/>
      <c r="X2" s="2"/>
      <c r="Y2" s="2"/>
      <c r="Z2" s="2"/>
      <c r="AA2" s="2"/>
      <c r="AB2" s="2"/>
      <c r="AC2" s="2"/>
      <c r="AD2" s="2"/>
      <c r="AE2" s="2"/>
      <c r="AF2" s="2"/>
    </row>
    <row r="3" spans="1:32" ht="27" customHeight="1" thickBot="1">
      <c r="A3" s="2"/>
      <c r="B3" s="260" t="s">
        <v>213</v>
      </c>
      <c r="C3" s="2"/>
      <c r="D3" s="2"/>
      <c r="E3" s="2"/>
      <c r="F3" s="261"/>
      <c r="G3" s="2"/>
      <c r="H3" s="2"/>
      <c r="I3" s="262" t="s">
        <v>19</v>
      </c>
      <c r="J3" s="2"/>
      <c r="K3" s="2"/>
      <c r="L3" s="2"/>
      <c r="M3" s="2"/>
      <c r="N3" s="2"/>
      <c r="O3" s="2"/>
      <c r="P3" s="2"/>
      <c r="Q3" s="2"/>
      <c r="R3" s="2"/>
      <c r="S3" s="2"/>
      <c r="T3" s="326"/>
      <c r="U3" s="351"/>
      <c r="V3" s="326"/>
      <c r="W3" s="326"/>
      <c r="X3" s="326"/>
      <c r="Y3" s="2"/>
      <c r="Z3" s="2"/>
      <c r="AA3" s="2"/>
      <c r="AB3" s="2"/>
      <c r="AC3" s="2"/>
      <c r="AD3" s="2"/>
      <c r="AE3" s="2"/>
      <c r="AF3" s="2"/>
    </row>
    <row r="4" spans="1:32" ht="18.75" customHeight="1" thickTop="1">
      <c r="A4" s="2"/>
      <c r="B4" s="263" t="s">
        <v>7</v>
      </c>
      <c r="C4" s="264" t="s">
        <v>25</v>
      </c>
      <c r="D4" s="264" t="s">
        <v>84</v>
      </c>
      <c r="E4" s="357" t="s">
        <v>85</v>
      </c>
      <c r="F4" s="265"/>
      <c r="G4" s="2"/>
      <c r="H4" s="2"/>
      <c r="I4" s="82"/>
      <c r="J4" s="266" t="s">
        <v>30</v>
      </c>
      <c r="K4" s="266" t="s">
        <v>31</v>
      </c>
      <c r="L4" s="266" t="s">
        <v>32</v>
      </c>
      <c r="M4" s="266" t="s">
        <v>33</v>
      </c>
      <c r="N4" s="267"/>
      <c r="O4" s="242"/>
      <c r="P4" s="243"/>
      <c r="Q4" s="243"/>
      <c r="R4" s="244"/>
      <c r="S4" s="2"/>
      <c r="T4" s="2"/>
      <c r="U4" s="310"/>
      <c r="V4" s="2"/>
      <c r="W4" s="2"/>
      <c r="X4" s="327"/>
      <c r="Y4" s="127"/>
      <c r="Z4" s="3"/>
      <c r="AA4" s="2"/>
      <c r="AB4" s="2"/>
      <c r="AC4" s="2"/>
      <c r="AD4" s="2"/>
      <c r="AE4" s="2"/>
      <c r="AF4" s="2"/>
    </row>
    <row r="5" spans="1:32" ht="18.75">
      <c r="A5" s="2"/>
      <c r="B5" s="268" t="s">
        <v>1</v>
      </c>
      <c r="C5" s="269">
        <f>E5/2000</f>
        <v>1.3852611616042038E-6</v>
      </c>
      <c r="D5" s="269">
        <f>C5/$J$116</f>
        <v>1.2566877877758543E-6</v>
      </c>
      <c r="E5" s="358">
        <f>Data!$C$56/1000</f>
        <v>2.7705223232084076E-3</v>
      </c>
      <c r="F5" s="271"/>
      <c r="G5" s="2"/>
      <c r="H5" s="2"/>
      <c r="I5" s="272" t="s">
        <v>67</v>
      </c>
      <c r="J5" s="70">
        <f>INDEX($B$4:$D$10, MATCH(Dashboard!$G$17, $B$4:$B$10, 0), 2)</f>
        <v>1.3852611616042038E-6</v>
      </c>
      <c r="K5" s="87" t="s">
        <v>27</v>
      </c>
      <c r="L5" s="87"/>
      <c r="M5" s="87"/>
      <c r="N5" s="3"/>
      <c r="O5" s="245"/>
      <c r="P5" s="246" t="s">
        <v>18</v>
      </c>
      <c r="Q5" s="247"/>
      <c r="R5" s="248"/>
      <c r="S5" s="2"/>
      <c r="T5" s="2"/>
      <c r="U5" s="310"/>
      <c r="V5" s="2"/>
      <c r="W5" s="2"/>
      <c r="X5" s="277"/>
      <c r="Y5" s="303"/>
      <c r="Z5" s="3"/>
      <c r="AA5" s="2"/>
      <c r="AB5" s="2"/>
      <c r="AC5" s="2"/>
      <c r="AD5" s="2"/>
      <c r="AE5" s="2"/>
      <c r="AF5" s="2"/>
    </row>
    <row r="6" spans="1:32" ht="16.5">
      <c r="A6" s="2"/>
      <c r="B6" s="268" t="s">
        <v>2</v>
      </c>
      <c r="C6" s="269">
        <f t="shared" ref="C6:C9" si="0">E6/2000</f>
        <v>1.320664761091244E-6</v>
      </c>
      <c r="D6" s="269">
        <f t="shared" ref="D6:D9" si="1">C6/$J$116</f>
        <v>1.1980869189224267E-6</v>
      </c>
      <c r="E6" s="358">
        <f>Data!$C$23/1000</f>
        <v>2.6413295221824878E-3</v>
      </c>
      <c r="F6" s="271"/>
      <c r="G6" s="2"/>
      <c r="H6" s="2"/>
      <c r="I6" s="70" t="s">
        <v>25</v>
      </c>
      <c r="J6" s="87" t="s">
        <v>27</v>
      </c>
      <c r="K6" s="71">
        <f>IF(Dashboard!$C$8="tons", J5, 0)</f>
        <v>0</v>
      </c>
      <c r="L6" s="71">
        <f>K9</f>
        <v>2.7705223232084076E-3</v>
      </c>
      <c r="M6" s="87" t="s">
        <v>27</v>
      </c>
      <c r="N6" s="3"/>
      <c r="O6" s="245"/>
      <c r="P6" s="249" t="s">
        <v>223</v>
      </c>
      <c r="Q6" s="250">
        <v>1</v>
      </c>
      <c r="R6" s="248"/>
      <c r="S6" s="2"/>
      <c r="T6" s="2"/>
      <c r="U6" s="310"/>
      <c r="V6" s="2"/>
      <c r="W6" s="2"/>
      <c r="X6" s="277"/>
      <c r="Y6" s="3"/>
      <c r="Z6" s="3"/>
      <c r="AA6" s="2"/>
      <c r="AB6" s="2"/>
      <c r="AC6" s="2"/>
      <c r="AD6" s="2"/>
      <c r="AE6" s="2"/>
      <c r="AF6" s="2"/>
    </row>
    <row r="7" spans="1:32" ht="16.5">
      <c r="A7" s="2"/>
      <c r="B7" s="268" t="s">
        <v>5</v>
      </c>
      <c r="C7" s="269">
        <f t="shared" si="0"/>
        <v>1.3457331950708936E-6</v>
      </c>
      <c r="D7" s="269">
        <f t="shared" si="1"/>
        <v>1.2208286197035335E-6</v>
      </c>
      <c r="E7" s="358">
        <f>Data!$C$72/1000</f>
        <v>2.6914663901417874E-3</v>
      </c>
      <c r="F7" s="271"/>
      <c r="G7" s="2"/>
      <c r="H7" s="2"/>
      <c r="I7" s="70" t="s">
        <v>26</v>
      </c>
      <c r="J7" s="87" t="s">
        <v>27</v>
      </c>
      <c r="K7" s="71">
        <f>IF(Dashboard!$C$8="Metric Tons", (J5/$J$116), 0)</f>
        <v>0</v>
      </c>
      <c r="L7" s="276">
        <f>K9*1000</f>
        <v>2.7705223232084077</v>
      </c>
      <c r="M7" s="87" t="s">
        <v>27</v>
      </c>
      <c r="N7" s="3"/>
      <c r="O7" s="245"/>
      <c r="P7" s="249" t="s">
        <v>224</v>
      </c>
      <c r="Q7" s="251">
        <v>1000</v>
      </c>
      <c r="R7" s="248"/>
      <c r="S7" s="2"/>
      <c r="T7" s="2"/>
      <c r="U7" s="310"/>
      <c r="V7" s="2"/>
      <c r="W7" s="2"/>
      <c r="X7" s="277"/>
      <c r="Y7" s="3"/>
      <c r="Z7" s="3"/>
      <c r="AA7" s="2"/>
      <c r="AB7" s="2"/>
      <c r="AC7" s="2"/>
      <c r="AD7" s="2"/>
      <c r="AE7" s="2"/>
      <c r="AF7" s="2"/>
    </row>
    <row r="8" spans="1:32" ht="16.5">
      <c r="A8" s="2"/>
      <c r="B8" s="268" t="s">
        <v>3</v>
      </c>
      <c r="C8" s="269">
        <f t="shared" si="0"/>
        <v>1.3396835897055394E-6</v>
      </c>
      <c r="D8" s="269">
        <f t="shared" si="1"/>
        <v>1.2153405100284597E-6</v>
      </c>
      <c r="E8" s="358">
        <f>Data!$C$39/1000</f>
        <v>2.6793671794110786E-3</v>
      </c>
      <c r="F8" s="271"/>
      <c r="G8" s="2"/>
      <c r="H8" s="2"/>
      <c r="I8" s="70" t="s">
        <v>22</v>
      </c>
      <c r="J8" s="87" t="s">
        <v>27</v>
      </c>
      <c r="K8" s="70">
        <f>IF(Dashboard!$C$8="Pounds", (J5*$J$118), 0)</f>
        <v>2.7705223232084076E-3</v>
      </c>
      <c r="L8" s="87" t="s">
        <v>27</v>
      </c>
      <c r="M8" s="87" t="s">
        <v>27</v>
      </c>
      <c r="N8" s="2"/>
      <c r="O8" s="245"/>
      <c r="P8" s="252"/>
      <c r="Q8" s="253"/>
      <c r="R8" s="248"/>
      <c r="S8" s="2"/>
      <c r="T8" s="2"/>
      <c r="U8" s="310"/>
      <c r="V8" s="2"/>
      <c r="W8" s="2"/>
      <c r="X8" s="277"/>
      <c r="Y8" s="77"/>
      <c r="Z8" s="3"/>
      <c r="AA8" s="2"/>
      <c r="AB8" s="2"/>
      <c r="AC8" s="2"/>
      <c r="AD8" s="2"/>
      <c r="AE8" s="2"/>
      <c r="AF8" s="2"/>
    </row>
    <row r="9" spans="1:32" ht="16.5">
      <c r="A9" s="2"/>
      <c r="B9" s="268" t="s">
        <v>4</v>
      </c>
      <c r="C9" s="269">
        <f t="shared" si="0"/>
        <v>1.373435713737064E-6</v>
      </c>
      <c r="D9" s="269">
        <f t="shared" si="1"/>
        <v>1.2459599219181232E-6</v>
      </c>
      <c r="E9" s="358">
        <f>Data!$C$7/1000</f>
        <v>2.7468714274741283E-3</v>
      </c>
      <c r="F9" s="271"/>
      <c r="G9" s="2"/>
      <c r="H9" s="2"/>
      <c r="I9" s="70" t="s">
        <v>23</v>
      </c>
      <c r="J9" s="87" t="s">
        <v>27</v>
      </c>
      <c r="K9" s="71">
        <f>SUM(K6:K8)</f>
        <v>2.7705223232084076E-3</v>
      </c>
      <c r="L9" s="278">
        <f>IF(Dashboard!$G$4="kWh", L6, L7)</f>
        <v>2.7705223232084077</v>
      </c>
      <c r="M9" s="278">
        <f>L9*Dashboard!$C$4</f>
        <v>2.7705223232084077</v>
      </c>
      <c r="N9" s="2"/>
      <c r="O9" s="245"/>
      <c r="P9" s="249" t="s">
        <v>11</v>
      </c>
      <c r="Q9" s="250">
        <v>1</v>
      </c>
      <c r="R9" s="248"/>
      <c r="S9" s="2"/>
      <c r="T9" s="2"/>
      <c r="U9" s="310"/>
      <c r="V9" s="2"/>
      <c r="W9" s="2"/>
      <c r="X9" s="277"/>
      <c r="Y9" s="3"/>
      <c r="Z9" s="3"/>
      <c r="AA9" s="2"/>
      <c r="AB9" s="2"/>
      <c r="AC9" s="2"/>
      <c r="AD9" s="2"/>
      <c r="AE9" s="2"/>
      <c r="AF9" s="2"/>
    </row>
    <row r="10" spans="1:32" ht="16.5">
      <c r="A10" s="2"/>
      <c r="B10" s="268" t="s">
        <v>6</v>
      </c>
      <c r="C10" s="270">
        <f t="shared" ref="C10:D10" si="2">AVERAGE(C5:C9)</f>
        <v>1.3529556842417889E-6</v>
      </c>
      <c r="D10" s="270">
        <f t="shared" si="2"/>
        <v>1.2273807516696793E-6</v>
      </c>
      <c r="E10" s="358">
        <f>AVERAGE(E5:E9)</f>
        <v>2.7059113684835779E-3</v>
      </c>
      <c r="F10" s="271"/>
      <c r="G10" s="2"/>
      <c r="H10" s="2"/>
      <c r="I10" s="2"/>
      <c r="J10" s="2"/>
      <c r="K10" s="2"/>
      <c r="L10" s="2"/>
      <c r="M10" s="2"/>
      <c r="N10" s="2"/>
      <c r="O10" s="245"/>
      <c r="P10" s="249" t="s">
        <v>8</v>
      </c>
      <c r="Q10" s="254">
        <v>1.1023113099999999</v>
      </c>
      <c r="R10" s="248"/>
      <c r="S10" s="2"/>
      <c r="T10" s="2"/>
      <c r="U10" s="310"/>
      <c r="V10" s="2"/>
      <c r="W10" s="2"/>
      <c r="X10" s="277"/>
      <c r="Y10" s="3"/>
      <c r="Z10" s="3"/>
      <c r="AA10" s="2"/>
      <c r="AB10" s="2"/>
      <c r="AC10" s="2"/>
      <c r="AD10" s="2"/>
      <c r="AE10" s="2"/>
      <c r="AF10" s="2"/>
    </row>
    <row r="11" spans="1:32" ht="16.5" customHeight="1">
      <c r="A11" s="3"/>
      <c r="B11" s="279"/>
      <c r="C11" s="280"/>
      <c r="D11" s="281"/>
      <c r="E11" s="359"/>
      <c r="F11" s="271"/>
      <c r="G11" s="2"/>
      <c r="H11" s="2"/>
      <c r="I11" s="69"/>
      <c r="J11" s="282" t="s">
        <v>30</v>
      </c>
      <c r="K11" s="282" t="s">
        <v>31</v>
      </c>
      <c r="L11" s="282" t="s">
        <v>32</v>
      </c>
      <c r="M11" s="282" t="s">
        <v>33</v>
      </c>
      <c r="N11" s="2"/>
      <c r="O11" s="245"/>
      <c r="P11" s="249" t="s">
        <v>24</v>
      </c>
      <c r="Q11" s="250">
        <v>2000</v>
      </c>
      <c r="R11" s="248"/>
      <c r="S11" s="2"/>
      <c r="T11" s="2"/>
      <c r="U11" s="310"/>
      <c r="V11" s="2"/>
      <c r="W11" s="2"/>
      <c r="X11" s="2"/>
      <c r="Y11" s="2"/>
      <c r="Z11" s="2"/>
      <c r="AA11" s="2"/>
      <c r="AB11" s="2"/>
      <c r="AC11" s="2"/>
      <c r="AD11" s="2"/>
      <c r="AE11" s="2"/>
      <c r="AF11" s="2"/>
    </row>
    <row r="12" spans="1:32" ht="18">
      <c r="A12" s="2"/>
      <c r="B12" s="260" t="s">
        <v>87</v>
      </c>
      <c r="C12" s="280"/>
      <c r="D12" s="283"/>
      <c r="E12" s="360"/>
      <c r="F12" s="265"/>
      <c r="G12" s="2"/>
      <c r="H12" s="2"/>
      <c r="I12" s="272" t="s">
        <v>43</v>
      </c>
      <c r="J12" s="284">
        <f>IF(ISNUMBER(Dashboard!$C$12), Dashboard!$C$12, 0)</f>
        <v>0</v>
      </c>
      <c r="K12" s="87" t="s">
        <v>27</v>
      </c>
      <c r="L12" s="275" t="str">
        <f>IF(Dashboard!$H$4="Metric Tons", (1/$J$116)*K12, K12)</f>
        <v>-</v>
      </c>
      <c r="M12" s="87" t="s">
        <v>27</v>
      </c>
      <c r="N12" s="2"/>
      <c r="O12" s="245"/>
      <c r="P12" s="255"/>
      <c r="Q12" s="255"/>
      <c r="R12" s="248"/>
      <c r="S12" s="2"/>
      <c r="T12" s="2"/>
      <c r="U12" s="310"/>
      <c r="V12" s="2"/>
      <c r="W12" s="2"/>
      <c r="X12" s="2"/>
      <c r="Y12" s="2"/>
      <c r="Z12" s="2"/>
      <c r="AA12" s="2"/>
      <c r="AB12" s="2"/>
      <c r="AC12" s="2"/>
      <c r="AD12" s="2"/>
      <c r="AE12" s="2"/>
      <c r="AF12" s="2"/>
    </row>
    <row r="13" spans="1:32" ht="15">
      <c r="A13" s="2"/>
      <c r="B13" s="263" t="s">
        <v>7</v>
      </c>
      <c r="C13" s="264" t="s">
        <v>25</v>
      </c>
      <c r="D13" s="264" t="s">
        <v>84</v>
      </c>
      <c r="E13" s="357" t="s">
        <v>85</v>
      </c>
      <c r="F13" s="265"/>
      <c r="G13" s="2"/>
      <c r="H13" s="2"/>
      <c r="I13" s="70" t="s">
        <v>25</v>
      </c>
      <c r="J13" s="87" t="s">
        <v>27</v>
      </c>
      <c r="K13" s="71">
        <f>IF(Dashboard!$C$8="tons", J12, 0)</f>
        <v>0</v>
      </c>
      <c r="L13" s="71">
        <f>K16</f>
        <v>0</v>
      </c>
      <c r="M13" s="87" t="s">
        <v>27</v>
      </c>
      <c r="N13" s="2"/>
      <c r="O13" s="245"/>
      <c r="P13" s="249" t="s">
        <v>225</v>
      </c>
      <c r="Q13" s="250">
        <v>153</v>
      </c>
      <c r="R13" s="248"/>
      <c r="S13" s="2"/>
      <c r="T13" s="2"/>
      <c r="U13" s="310"/>
      <c r="V13" s="2"/>
      <c r="W13" s="2"/>
      <c r="X13" s="2"/>
      <c r="Y13" s="2"/>
      <c r="Z13" s="2"/>
      <c r="AA13" s="2"/>
      <c r="AB13" s="2"/>
      <c r="AC13" s="2"/>
      <c r="AD13" s="2"/>
      <c r="AE13" s="2"/>
      <c r="AF13" s="2"/>
    </row>
    <row r="14" spans="1:32" ht="17.25" thickBot="1">
      <c r="A14" s="2"/>
      <c r="B14" s="268" t="s">
        <v>1</v>
      </c>
      <c r="C14" s="269">
        <f>E14/2000</f>
        <v>1.4630489157012165E-6</v>
      </c>
      <c r="D14" s="269">
        <f t="shared" ref="D14:D18" si="3">C14/$J$116</f>
        <v>1.3272556513107143E-6</v>
      </c>
      <c r="E14" s="358">
        <f>Data!$C$55/1000</f>
        <v>2.9260978314024329E-3</v>
      </c>
      <c r="F14" s="271"/>
      <c r="G14" s="2"/>
      <c r="H14" s="2"/>
      <c r="I14" s="70" t="s">
        <v>26</v>
      </c>
      <c r="J14" s="87" t="s">
        <v>27</v>
      </c>
      <c r="K14" s="71">
        <f>IF(Dashboard!$C$8="Metric Tons", (J12/$J$116), 0)</f>
        <v>0</v>
      </c>
      <c r="L14" s="276">
        <f>K16*1000</f>
        <v>0</v>
      </c>
      <c r="M14" s="87" t="s">
        <v>27</v>
      </c>
      <c r="N14" s="2"/>
      <c r="O14" s="256"/>
      <c r="P14" s="257"/>
      <c r="Q14" s="257"/>
      <c r="R14" s="258"/>
      <c r="S14" s="2"/>
      <c r="T14" s="2"/>
      <c r="U14" s="310"/>
      <c r="V14" s="2"/>
      <c r="W14" s="2"/>
      <c r="X14" s="2"/>
      <c r="Y14" s="2"/>
      <c r="Z14" s="2"/>
      <c r="AA14" s="2"/>
      <c r="AB14" s="2"/>
      <c r="AC14" s="2"/>
      <c r="AD14" s="2"/>
      <c r="AE14" s="2"/>
      <c r="AF14" s="2"/>
    </row>
    <row r="15" spans="1:32" ht="17.25" thickTop="1">
      <c r="A15" s="2"/>
      <c r="B15" s="268" t="s">
        <v>2</v>
      </c>
      <c r="C15" s="269">
        <f t="shared" ref="C15:C18" si="4">E15/2000</f>
        <v>1.4083290049875069E-6</v>
      </c>
      <c r="D15" s="269">
        <f t="shared" si="3"/>
        <v>1.2776145832954459E-6</v>
      </c>
      <c r="E15" s="358">
        <f>Data!$C$22/1000</f>
        <v>2.816658009975014E-3</v>
      </c>
      <c r="F15" s="271"/>
      <c r="G15" s="2"/>
      <c r="H15" s="2"/>
      <c r="I15" s="70" t="s">
        <v>22</v>
      </c>
      <c r="J15" s="87" t="s">
        <v>27</v>
      </c>
      <c r="K15" s="70">
        <f>IF(Dashboard!$C$8="Pounds", (J12*$J$118), 0)</f>
        <v>0</v>
      </c>
      <c r="L15" s="87" t="s">
        <v>27</v>
      </c>
      <c r="M15" s="87" t="s">
        <v>27</v>
      </c>
      <c r="N15" s="2"/>
      <c r="O15" s="2"/>
      <c r="P15" s="2"/>
      <c r="Q15" s="2"/>
      <c r="R15" s="2"/>
      <c r="S15" s="2"/>
      <c r="T15" s="2"/>
      <c r="U15" s="310"/>
      <c r="V15" s="2"/>
      <c r="W15" s="2"/>
      <c r="X15" s="2"/>
      <c r="Y15" s="2"/>
      <c r="Z15" s="2"/>
      <c r="AA15" s="2"/>
      <c r="AB15" s="2"/>
      <c r="AC15" s="2"/>
      <c r="AD15" s="2"/>
      <c r="AE15" s="2"/>
      <c r="AF15" s="2"/>
    </row>
    <row r="16" spans="1:32" ht="17.25" thickBot="1">
      <c r="A16" s="2"/>
      <c r="B16" s="268" t="s">
        <v>5</v>
      </c>
      <c r="C16" s="269">
        <f t="shared" si="4"/>
        <v>1.4090556292022762E-6</v>
      </c>
      <c r="D16" s="269">
        <f t="shared" si="3"/>
        <v>1.2782737656953517E-6</v>
      </c>
      <c r="E16" s="358">
        <f>Data!$C$71/1000</f>
        <v>2.8181112584045524E-3</v>
      </c>
      <c r="F16" s="271"/>
      <c r="G16" s="2"/>
      <c r="H16" s="2"/>
      <c r="I16" s="70" t="s">
        <v>23</v>
      </c>
      <c r="J16" s="87" t="s">
        <v>27</v>
      </c>
      <c r="K16" s="71">
        <f>SUM(K13:K15)</f>
        <v>0</v>
      </c>
      <c r="L16" s="70">
        <f>IF(Dashboard!$G$4="kWh", L13, L14)</f>
        <v>0</v>
      </c>
      <c r="M16" s="278">
        <f>L16*Dashboard!$C$4</f>
        <v>0</v>
      </c>
      <c r="N16" s="2"/>
      <c r="O16" s="2"/>
      <c r="P16" s="2"/>
      <c r="Q16" s="2"/>
      <c r="R16" s="2"/>
      <c r="S16" s="2"/>
      <c r="T16" s="2"/>
      <c r="U16" s="310"/>
      <c r="V16" s="2"/>
      <c r="W16" s="2"/>
      <c r="X16" s="2"/>
      <c r="Y16" s="2"/>
      <c r="Z16" s="2"/>
      <c r="AA16" s="2"/>
      <c r="AB16" s="2"/>
      <c r="AC16" s="2"/>
      <c r="AD16" s="2"/>
      <c r="AE16" s="2"/>
      <c r="AF16" s="2"/>
    </row>
    <row r="17" spans="1:32" ht="17.25" thickTop="1">
      <c r="A17" s="2"/>
      <c r="B17" s="268" t="s">
        <v>3</v>
      </c>
      <c r="C17" s="269">
        <f t="shared" si="4"/>
        <v>1.4207614003754499E-6</v>
      </c>
      <c r="D17" s="269">
        <f t="shared" si="3"/>
        <v>1.288893062682492E-6</v>
      </c>
      <c r="E17" s="358">
        <f>Data!$C$38/1000</f>
        <v>2.8415228007508996E-3</v>
      </c>
      <c r="F17" s="271"/>
      <c r="G17" s="2"/>
      <c r="H17" s="2"/>
      <c r="I17" s="3"/>
      <c r="J17" s="3"/>
      <c r="K17" s="3"/>
      <c r="L17" s="3"/>
      <c r="M17" s="3"/>
      <c r="N17" s="267"/>
      <c r="O17" s="311" t="s">
        <v>226</v>
      </c>
      <c r="P17" s="312"/>
      <c r="Q17" s="312"/>
      <c r="R17" s="312"/>
      <c r="S17" s="312"/>
      <c r="T17" s="244"/>
      <c r="U17" s="310"/>
      <c r="V17" s="2"/>
      <c r="W17" s="2"/>
      <c r="X17" s="2"/>
      <c r="Y17" s="2"/>
      <c r="Z17" s="2"/>
      <c r="AA17" s="2"/>
      <c r="AB17" s="2"/>
      <c r="AC17" s="2"/>
      <c r="AD17" s="2"/>
      <c r="AE17" s="2"/>
      <c r="AF17" s="2"/>
    </row>
    <row r="18" spans="1:32" ht="16.5">
      <c r="A18" s="2"/>
      <c r="B18" s="268" t="s">
        <v>4</v>
      </c>
      <c r="C18" s="269">
        <f t="shared" si="4"/>
        <v>1.4565695938584684E-6</v>
      </c>
      <c r="D18" s="269">
        <f t="shared" si="3"/>
        <v>1.3213777094044952E-6</v>
      </c>
      <c r="E18" s="358">
        <f>Data!$C$6/1000</f>
        <v>2.913139187716937E-3</v>
      </c>
      <c r="F18" s="271"/>
      <c r="G18" s="2"/>
      <c r="H18" s="2"/>
      <c r="I18" s="77"/>
      <c r="J18" s="267"/>
      <c r="K18" s="267"/>
      <c r="L18" s="267"/>
      <c r="M18" s="267"/>
      <c r="N18" s="3"/>
      <c r="O18" s="313"/>
      <c r="P18" s="314" t="s">
        <v>29</v>
      </c>
      <c r="Q18" s="315"/>
      <c r="R18" s="315"/>
      <c r="S18" s="315"/>
      <c r="T18" s="248"/>
      <c r="U18" s="310"/>
      <c r="V18" s="2"/>
      <c r="W18" s="2"/>
      <c r="X18" s="2"/>
      <c r="Y18" s="2"/>
      <c r="Z18" s="2"/>
      <c r="AA18" s="2"/>
      <c r="AB18" s="2"/>
      <c r="AC18" s="2"/>
      <c r="AD18" s="2"/>
      <c r="AE18" s="2"/>
      <c r="AF18" s="2"/>
    </row>
    <row r="19" spans="1:32" ht="16.5">
      <c r="A19" s="2"/>
      <c r="B19" s="268" t="s">
        <v>6</v>
      </c>
      <c r="C19" s="270">
        <f t="shared" ref="C19:D19" si="5">AVERAGE(C14:C18)</f>
        <v>1.4315529088249837E-6</v>
      </c>
      <c r="D19" s="270">
        <f t="shared" si="5"/>
        <v>1.2986829544776996E-6</v>
      </c>
      <c r="E19" s="358">
        <f>AVERAGE(E14:E18)</f>
        <v>2.8631058176499676E-3</v>
      </c>
      <c r="F19" s="271"/>
      <c r="G19" s="2"/>
      <c r="H19" s="2"/>
      <c r="I19" s="277"/>
      <c r="J19" s="285"/>
      <c r="K19" s="239"/>
      <c r="L19" s="114"/>
      <c r="M19" s="239"/>
      <c r="N19" s="3"/>
      <c r="O19" s="313"/>
      <c r="P19" s="316" t="s">
        <v>227</v>
      </c>
      <c r="Q19" s="315"/>
      <c r="R19" s="315"/>
      <c r="S19" s="315"/>
      <c r="T19" s="248"/>
      <c r="U19" s="310"/>
      <c r="V19" s="2"/>
      <c r="W19" s="2"/>
      <c r="X19" s="2"/>
      <c r="Y19" s="2"/>
      <c r="Z19" s="2"/>
      <c r="AA19" s="2"/>
      <c r="AB19" s="2"/>
      <c r="AC19" s="2"/>
      <c r="AD19" s="2"/>
      <c r="AE19" s="2"/>
      <c r="AF19" s="2"/>
    </row>
    <row r="20" spans="1:32" ht="15">
      <c r="A20" s="2"/>
      <c r="B20" s="280"/>
      <c r="C20" s="280"/>
      <c r="D20" s="286"/>
      <c r="E20" s="361"/>
      <c r="F20" s="108"/>
      <c r="G20" s="2"/>
      <c r="H20" s="2"/>
      <c r="I20" s="77"/>
      <c r="J20" s="239"/>
      <c r="K20" s="3"/>
      <c r="L20" s="3"/>
      <c r="M20" s="239"/>
      <c r="N20" s="3"/>
      <c r="O20" s="313"/>
      <c r="P20" s="316" t="s">
        <v>11</v>
      </c>
      <c r="Q20" s="315"/>
      <c r="R20" s="315"/>
      <c r="S20" s="315"/>
      <c r="T20" s="248"/>
      <c r="U20" s="310"/>
      <c r="V20" s="2"/>
      <c r="W20" s="2"/>
      <c r="X20" s="2"/>
      <c r="Y20" s="2"/>
      <c r="Z20" s="2"/>
      <c r="AA20" s="2"/>
      <c r="AB20" s="2"/>
      <c r="AC20" s="2"/>
      <c r="AD20" s="2"/>
      <c r="AE20" s="2"/>
      <c r="AF20" s="2"/>
    </row>
    <row r="21" spans="1:32" ht="15" hidden="1">
      <c r="A21" s="2"/>
      <c r="B21" s="280"/>
      <c r="C21" s="280"/>
      <c r="D21" s="287"/>
      <c r="E21" s="362"/>
      <c r="F21" s="108"/>
      <c r="G21" s="2"/>
      <c r="H21" s="2"/>
      <c r="I21" s="77"/>
      <c r="J21" s="239"/>
      <c r="K21" s="3"/>
      <c r="L21" s="288"/>
      <c r="M21" s="239"/>
      <c r="N21" s="2"/>
      <c r="O21" s="313"/>
      <c r="P21" s="316"/>
      <c r="Q21" s="315"/>
      <c r="R21" s="315"/>
      <c r="S21" s="315"/>
      <c r="T21" s="248"/>
      <c r="U21" s="310"/>
      <c r="V21" s="2"/>
      <c r="W21" s="2"/>
      <c r="X21" s="2"/>
      <c r="Y21" s="2"/>
      <c r="Z21" s="2"/>
      <c r="AA21" s="2"/>
      <c r="AB21" s="2"/>
      <c r="AC21" s="2"/>
      <c r="AD21" s="2"/>
      <c r="AE21" s="2"/>
      <c r="AF21" s="2"/>
    </row>
    <row r="22" spans="1:32" ht="18">
      <c r="A22" s="3"/>
      <c r="B22" s="260" t="s">
        <v>88</v>
      </c>
      <c r="C22" s="280"/>
      <c r="D22" s="289"/>
      <c r="E22" s="360"/>
      <c r="F22" s="108"/>
      <c r="G22" s="2"/>
      <c r="H22" s="2"/>
      <c r="I22" s="77"/>
      <c r="J22" s="239"/>
      <c r="K22" s="77"/>
      <c r="L22" s="239"/>
      <c r="M22" s="239"/>
      <c r="N22" s="2"/>
      <c r="O22" s="313"/>
      <c r="P22" s="316" t="s">
        <v>1</v>
      </c>
      <c r="Q22" s="315"/>
      <c r="R22" s="315"/>
      <c r="S22" s="315"/>
      <c r="T22" s="248"/>
      <c r="U22" s="310"/>
      <c r="V22" s="2"/>
      <c r="W22" s="2"/>
      <c r="X22" s="2"/>
      <c r="Y22" s="2"/>
      <c r="Z22" s="2"/>
      <c r="AA22" s="2"/>
      <c r="AB22" s="2"/>
      <c r="AC22" s="2"/>
      <c r="AD22" s="2"/>
      <c r="AE22" s="2"/>
      <c r="AF22" s="2"/>
    </row>
    <row r="23" spans="1:32" ht="15.75">
      <c r="A23" s="2"/>
      <c r="B23" s="263" t="s">
        <v>7</v>
      </c>
      <c r="C23" s="264" t="s">
        <v>25</v>
      </c>
      <c r="D23" s="264" t="s">
        <v>84</v>
      </c>
      <c r="E23" s="357" t="s">
        <v>85</v>
      </c>
      <c r="F23" s="265"/>
      <c r="G23" s="2"/>
      <c r="H23" s="2"/>
      <c r="I23" s="77"/>
      <c r="J23" s="239"/>
      <c r="K23" s="3"/>
      <c r="L23" s="77"/>
      <c r="M23" s="290"/>
      <c r="N23" s="2"/>
      <c r="O23" s="313"/>
      <c r="P23" s="316" t="s">
        <v>54</v>
      </c>
      <c r="Q23" s="315"/>
      <c r="R23" s="315"/>
      <c r="S23" s="315"/>
      <c r="T23" s="248"/>
      <c r="U23" s="310"/>
      <c r="V23" s="2"/>
      <c r="W23" s="2"/>
      <c r="X23" s="2"/>
      <c r="Y23" s="2"/>
      <c r="Z23" s="2"/>
      <c r="AA23" s="2"/>
      <c r="AB23" s="2"/>
      <c r="AC23" s="2"/>
      <c r="AD23" s="2"/>
      <c r="AE23" s="2"/>
      <c r="AF23" s="2"/>
    </row>
    <row r="24" spans="1:32" ht="18.75" customHeight="1">
      <c r="A24" s="2"/>
      <c r="B24" s="268" t="s">
        <v>1</v>
      </c>
      <c r="C24" s="269">
        <f>E24/2000</f>
        <v>9.5855977516220395E-4</v>
      </c>
      <c r="D24" s="269">
        <f t="shared" ref="D24:D28" si="6">C24/$J$116</f>
        <v>8.6959080113421317E-4</v>
      </c>
      <c r="E24" s="358">
        <f>Data!$E$55/1000</f>
        <v>1.9171195503244078</v>
      </c>
      <c r="F24" s="271"/>
      <c r="G24" s="2"/>
      <c r="H24" s="2"/>
      <c r="I24" s="3"/>
      <c r="J24" s="3"/>
      <c r="K24" s="3"/>
      <c r="L24" s="3"/>
      <c r="M24" s="3"/>
      <c r="N24" s="2"/>
      <c r="O24" s="313"/>
      <c r="P24" s="314" t="s">
        <v>190</v>
      </c>
      <c r="Q24" s="315"/>
      <c r="R24" s="315"/>
      <c r="S24" s="315"/>
      <c r="T24" s="248"/>
      <c r="U24" s="310"/>
      <c r="V24" s="2"/>
      <c r="W24" s="2"/>
      <c r="X24" s="2"/>
      <c r="Y24" s="2"/>
      <c r="Z24" s="2"/>
      <c r="AA24" s="2"/>
      <c r="AB24" s="2"/>
      <c r="AC24" s="2"/>
      <c r="AD24" s="2"/>
      <c r="AE24" s="2"/>
      <c r="AF24" s="2"/>
    </row>
    <row r="25" spans="1:32" ht="16.5">
      <c r="A25" s="2"/>
      <c r="B25" s="268" t="s">
        <v>2</v>
      </c>
      <c r="C25" s="269">
        <f t="shared" ref="C25:C28" si="7">E25/2000</f>
        <v>9.2659200124774275E-4</v>
      </c>
      <c r="D25" s="269">
        <f t="shared" si="6"/>
        <v>8.4059012444292417E-4</v>
      </c>
      <c r="E25" s="358">
        <f>Data!$E$22/1000</f>
        <v>1.8531840024954855</v>
      </c>
      <c r="F25" s="271"/>
      <c r="G25" s="2"/>
      <c r="H25" s="2"/>
      <c r="I25" s="2"/>
      <c r="J25" s="2"/>
      <c r="K25" s="2"/>
      <c r="L25" s="2"/>
      <c r="M25" s="2"/>
      <c r="N25" s="2"/>
      <c r="O25" s="313"/>
      <c r="P25" s="316" t="s">
        <v>228</v>
      </c>
      <c r="Q25" s="315"/>
      <c r="R25" s="315"/>
      <c r="S25" s="315"/>
      <c r="T25" s="248"/>
      <c r="U25" s="310"/>
      <c r="V25" s="2"/>
      <c r="W25" s="2"/>
      <c r="X25" s="2"/>
      <c r="Y25" s="2"/>
      <c r="Z25" s="2"/>
      <c r="AA25" s="2"/>
      <c r="AB25" s="2"/>
      <c r="AC25" s="2"/>
      <c r="AD25" s="2"/>
      <c r="AE25" s="2"/>
      <c r="AF25" s="2"/>
    </row>
    <row r="26" spans="1:32" ht="17.25" thickBot="1">
      <c r="A26" s="2"/>
      <c r="B26" s="268" t="s">
        <v>5</v>
      </c>
      <c r="C26" s="269">
        <f t="shared" si="7"/>
        <v>9.3034766414820962E-4</v>
      </c>
      <c r="D26" s="269">
        <f t="shared" si="6"/>
        <v>8.4399720451766905E-4</v>
      </c>
      <c r="E26" s="358">
        <f>Data!$E$71/1000</f>
        <v>1.8606953282964191</v>
      </c>
      <c r="F26" s="271"/>
      <c r="G26" s="2"/>
      <c r="H26" s="2"/>
      <c r="I26" s="2"/>
      <c r="J26" s="2"/>
      <c r="K26" s="2"/>
      <c r="L26" s="2"/>
      <c r="M26" s="2"/>
      <c r="N26" s="2"/>
      <c r="O26" s="317"/>
      <c r="P26" s="318" t="s">
        <v>229</v>
      </c>
      <c r="Q26" s="319"/>
      <c r="R26" s="319"/>
      <c r="S26" s="319"/>
      <c r="T26" s="320"/>
      <c r="U26" s="310"/>
      <c r="V26" s="2"/>
      <c r="W26" s="2"/>
      <c r="X26" s="2"/>
      <c r="Y26" s="2"/>
      <c r="Z26" s="2"/>
      <c r="AA26" s="2"/>
      <c r="AB26" s="2"/>
      <c r="AC26" s="2"/>
      <c r="AD26" s="2"/>
      <c r="AE26" s="2"/>
      <c r="AF26" s="2"/>
    </row>
    <row r="27" spans="1:32" ht="17.25" thickTop="1">
      <c r="A27" s="2"/>
      <c r="B27" s="268" t="s">
        <v>3</v>
      </c>
      <c r="C27" s="269">
        <f t="shared" si="7"/>
        <v>9.3458532673937041E-4</v>
      </c>
      <c r="D27" s="269">
        <f t="shared" si="6"/>
        <v>8.4784154735686275E-4</v>
      </c>
      <c r="E27" s="358">
        <f>Data!$E$38/1000</f>
        <v>1.8691706534787409</v>
      </c>
      <c r="F27" s="271"/>
      <c r="G27" s="2"/>
      <c r="H27" s="2"/>
      <c r="I27" s="2"/>
      <c r="J27" s="2"/>
      <c r="K27" s="2"/>
      <c r="L27" s="2"/>
      <c r="M27" s="2"/>
      <c r="N27" s="2"/>
      <c r="O27" s="31"/>
      <c r="Q27" s="31"/>
      <c r="R27" s="31"/>
      <c r="S27" s="31"/>
      <c r="T27" s="2"/>
      <c r="U27" s="310"/>
      <c r="V27" s="2"/>
      <c r="W27" s="2"/>
      <c r="X27" s="2"/>
      <c r="Y27" s="2"/>
      <c r="Z27" s="2"/>
      <c r="AA27" s="2"/>
      <c r="AB27" s="2"/>
      <c r="AC27" s="2"/>
      <c r="AD27" s="2"/>
      <c r="AE27" s="2"/>
      <c r="AF27" s="2"/>
    </row>
    <row r="28" spans="1:32" ht="16.5">
      <c r="A28" s="2"/>
      <c r="B28" s="268" t="s">
        <v>4</v>
      </c>
      <c r="C28" s="269">
        <f t="shared" si="7"/>
        <v>9.5199942623487403E-4</v>
      </c>
      <c r="D28" s="269">
        <f t="shared" si="6"/>
        <v>8.6363935269327327E-4</v>
      </c>
      <c r="E28" s="358">
        <f>Data!$E$6/1000</f>
        <v>1.903998852469748</v>
      </c>
      <c r="F28" s="271"/>
      <c r="G28" s="2"/>
      <c r="H28" s="2"/>
      <c r="I28" s="2"/>
      <c r="J28" s="2"/>
      <c r="K28" s="2"/>
      <c r="L28" s="2"/>
      <c r="M28" s="2"/>
      <c r="N28" s="267"/>
      <c r="O28" s="2"/>
      <c r="P28" s="2"/>
      <c r="Q28" s="267"/>
      <c r="R28" s="267"/>
      <c r="S28" s="2"/>
      <c r="T28" s="2"/>
      <c r="U28" s="310"/>
      <c r="V28" s="2"/>
      <c r="W28" s="2"/>
      <c r="X28" s="2"/>
      <c r="Y28" s="2"/>
      <c r="Z28" s="2"/>
      <c r="AA28" s="2"/>
      <c r="AB28" s="2"/>
      <c r="AC28" s="2"/>
      <c r="AD28" s="2"/>
      <c r="AE28" s="2"/>
      <c r="AF28" s="2"/>
    </row>
    <row r="29" spans="1:32" ht="16.5">
      <c r="A29" s="2"/>
      <c r="B29" s="268" t="s">
        <v>6</v>
      </c>
      <c r="C29" s="270">
        <f t="shared" ref="C29:D29" si="8">AVERAGE(C24:C28)</f>
        <v>9.4041683870648015E-4</v>
      </c>
      <c r="D29" s="270">
        <f t="shared" si="8"/>
        <v>8.5313180602898837E-4</v>
      </c>
      <c r="E29" s="358">
        <f>AVERAGE(E24:E28)</f>
        <v>1.8808336774129604</v>
      </c>
      <c r="F29" s="271"/>
      <c r="G29" s="2"/>
      <c r="H29" s="2"/>
      <c r="I29" s="2"/>
      <c r="J29" s="2"/>
      <c r="K29" s="2"/>
      <c r="L29" s="2"/>
      <c r="M29" s="2"/>
      <c r="N29" s="3"/>
      <c r="O29" s="3"/>
      <c r="P29" s="3"/>
      <c r="Q29" s="3"/>
      <c r="R29" s="3"/>
      <c r="S29" s="2"/>
      <c r="T29" s="2"/>
      <c r="U29" s="310"/>
      <c r="V29" s="2"/>
      <c r="W29" s="2"/>
      <c r="X29" s="2"/>
      <c r="Y29" s="2"/>
      <c r="Z29" s="2"/>
      <c r="AA29" s="2"/>
      <c r="AB29" s="2"/>
      <c r="AC29" s="2"/>
      <c r="AD29" s="2"/>
      <c r="AE29" s="2"/>
      <c r="AF29" s="2"/>
    </row>
    <row r="30" spans="1:32" ht="14.25">
      <c r="A30" s="2"/>
      <c r="B30" s="280"/>
      <c r="C30" s="280"/>
      <c r="D30" s="286"/>
      <c r="E30" s="361"/>
      <c r="F30" s="108"/>
      <c r="G30" s="2"/>
      <c r="H30" s="2"/>
      <c r="I30" s="2"/>
      <c r="J30" s="2"/>
      <c r="K30" s="2"/>
      <c r="L30" s="2"/>
      <c r="M30" s="2"/>
      <c r="N30" s="3"/>
      <c r="O30" s="3"/>
      <c r="P30" s="3"/>
      <c r="Q30" s="3"/>
      <c r="R30" s="3"/>
      <c r="S30" s="2"/>
      <c r="T30" s="2"/>
      <c r="U30" s="310"/>
      <c r="V30" s="2"/>
      <c r="W30" s="2"/>
      <c r="X30" s="2"/>
      <c r="Y30" s="2"/>
      <c r="Z30" s="2"/>
      <c r="AA30" s="2"/>
      <c r="AB30" s="2"/>
      <c r="AC30" s="2"/>
      <c r="AD30" s="2"/>
      <c r="AE30" s="2"/>
      <c r="AF30" s="2"/>
    </row>
    <row r="31" spans="1:32" ht="18">
      <c r="A31" s="2"/>
      <c r="B31" s="260" t="s">
        <v>216</v>
      </c>
      <c r="C31" s="280"/>
      <c r="D31" s="289"/>
      <c r="E31" s="360"/>
      <c r="F31" s="265"/>
      <c r="G31" s="2"/>
      <c r="H31" s="2"/>
      <c r="I31" s="2"/>
      <c r="J31" s="2"/>
      <c r="K31" s="2"/>
      <c r="L31" s="2"/>
      <c r="M31" s="2"/>
      <c r="N31" s="3"/>
      <c r="O31" s="3"/>
      <c r="P31" s="3"/>
      <c r="Q31" s="3"/>
      <c r="R31" s="3"/>
      <c r="S31" s="2"/>
      <c r="T31" s="2"/>
      <c r="U31" s="310"/>
      <c r="V31" s="2"/>
      <c r="W31" s="2"/>
      <c r="X31" s="2"/>
      <c r="Y31" s="2"/>
      <c r="Z31" s="2"/>
      <c r="AA31" s="2"/>
      <c r="AB31" s="2"/>
      <c r="AC31" s="2"/>
      <c r="AD31" s="2"/>
      <c r="AE31" s="2"/>
      <c r="AF31" s="2"/>
    </row>
    <row r="32" spans="1:32" ht="16.5" customHeight="1">
      <c r="A32" s="2"/>
      <c r="B32" s="263" t="s">
        <v>7</v>
      </c>
      <c r="C32" s="264" t="s">
        <v>25</v>
      </c>
      <c r="D32" s="264" t="s">
        <v>84</v>
      </c>
      <c r="E32" s="357" t="s">
        <v>85</v>
      </c>
      <c r="F32" s="2"/>
      <c r="G32" s="2"/>
      <c r="H32" s="2"/>
      <c r="I32" s="262" t="s">
        <v>20</v>
      </c>
      <c r="J32" s="267"/>
      <c r="K32" s="267"/>
      <c r="L32" s="267"/>
      <c r="M32" s="267"/>
      <c r="N32" s="2"/>
      <c r="O32" s="2"/>
      <c r="P32" s="2"/>
      <c r="Q32" s="2"/>
      <c r="R32" s="2"/>
      <c r="S32" s="2"/>
      <c r="T32" s="2"/>
      <c r="U32" s="310"/>
      <c r="V32" s="2"/>
      <c r="W32" s="2"/>
      <c r="X32" s="2"/>
      <c r="Y32" s="2"/>
      <c r="Z32" s="2"/>
      <c r="AA32" s="2"/>
      <c r="AB32" s="2"/>
      <c r="AC32" s="2"/>
      <c r="AD32" s="2"/>
      <c r="AE32" s="2"/>
      <c r="AF32" s="2"/>
    </row>
    <row r="33" spans="1:32" ht="15" customHeight="1">
      <c r="A33" s="2"/>
      <c r="B33" s="268" t="s">
        <v>1</v>
      </c>
      <c r="C33" s="269">
        <f>E33/2000</f>
        <v>7.6203249790733494E-6</v>
      </c>
      <c r="D33" s="269">
        <f t="shared" ref="D33:D37" si="9">C33/$J$116</f>
        <v>6.9130425406533752E-6</v>
      </c>
      <c r="E33" s="358">
        <v>1.5240649958146699E-2</v>
      </c>
      <c r="G33" s="2"/>
      <c r="H33" s="2"/>
      <c r="I33" s="82"/>
      <c r="J33" s="266" t="s">
        <v>30</v>
      </c>
      <c r="K33" s="266" t="s">
        <v>31</v>
      </c>
      <c r="L33" s="266" t="s">
        <v>32</v>
      </c>
      <c r="M33" s="266" t="s">
        <v>33</v>
      </c>
      <c r="N33" s="2"/>
      <c r="O33" s="2"/>
      <c r="P33" s="2"/>
      <c r="Q33" s="2"/>
      <c r="R33" s="2"/>
      <c r="S33" s="2"/>
      <c r="T33" s="2"/>
      <c r="U33" s="310"/>
      <c r="V33" s="2"/>
      <c r="W33" s="2"/>
      <c r="X33" s="2"/>
      <c r="Y33" s="2"/>
      <c r="Z33" s="2"/>
      <c r="AA33" s="2"/>
      <c r="AB33" s="2"/>
      <c r="AC33" s="2"/>
      <c r="AD33" s="2"/>
      <c r="AE33" s="2"/>
      <c r="AF33" s="2"/>
    </row>
    <row r="34" spans="1:32" ht="16.5">
      <c r="A34" s="2"/>
      <c r="B34" s="268" t="s">
        <v>2</v>
      </c>
      <c r="C34" s="269">
        <f t="shared" ref="C34:C37" si="10">E34/2000</f>
        <v>6.6721261032098503E-6</v>
      </c>
      <c r="D34" s="269">
        <f t="shared" si="9"/>
        <v>6.0528509892635053E-6</v>
      </c>
      <c r="E34" s="358">
        <v>1.33442522064197E-2</v>
      </c>
      <c r="G34" s="2"/>
      <c r="H34" s="2"/>
      <c r="I34" s="272" t="s">
        <v>67</v>
      </c>
      <c r="J34" s="70">
        <f>INDEX($B$13:$D$19, MATCH(Dashboard!$G$17, $B$13:$B$19, 0), 2)</f>
        <v>1.4630489157012165E-6</v>
      </c>
      <c r="K34" s="87" t="s">
        <v>27</v>
      </c>
      <c r="L34" s="87" t="s">
        <v>27</v>
      </c>
      <c r="M34" s="87" t="s">
        <v>27</v>
      </c>
      <c r="N34" s="2"/>
      <c r="O34" s="2"/>
      <c r="P34" s="2"/>
      <c r="Q34" s="2"/>
      <c r="R34" s="2"/>
      <c r="S34" s="2"/>
      <c r="T34" s="2"/>
      <c r="U34" s="310"/>
      <c r="V34" s="2"/>
      <c r="W34" s="2"/>
      <c r="X34" s="2"/>
      <c r="Y34" s="2"/>
      <c r="Z34" s="2"/>
      <c r="AA34" s="2"/>
      <c r="AB34" s="2"/>
      <c r="AC34" s="2"/>
      <c r="AD34" s="2"/>
      <c r="AE34" s="2"/>
      <c r="AF34" s="2"/>
    </row>
    <row r="35" spans="1:32" ht="16.5">
      <c r="A35" s="2"/>
      <c r="B35" s="268" t="s">
        <v>5</v>
      </c>
      <c r="C35" s="269">
        <f t="shared" si="10"/>
        <v>6.7409636362076503E-6</v>
      </c>
      <c r="D35" s="269">
        <f t="shared" si="9"/>
        <v>6.115299348790725E-6</v>
      </c>
      <c r="E35" s="358">
        <v>1.34819272724153E-2</v>
      </c>
      <c r="G35" s="2"/>
      <c r="H35" s="2"/>
      <c r="I35" s="70" t="s">
        <v>25</v>
      </c>
      <c r="J35" s="87" t="s">
        <v>27</v>
      </c>
      <c r="K35" s="71">
        <f>IF(Dashboard!$C$8="tons", J34, 0)</f>
        <v>0</v>
      </c>
      <c r="L35" s="71">
        <f>K38</f>
        <v>2.9260978314024329E-3</v>
      </c>
      <c r="M35" s="87" t="s">
        <v>27</v>
      </c>
      <c r="N35" s="2"/>
      <c r="O35" s="2"/>
      <c r="P35" s="2"/>
      <c r="Q35" s="2"/>
      <c r="R35" s="2"/>
      <c r="S35" s="2"/>
      <c r="T35" s="2"/>
      <c r="U35" s="310"/>
      <c r="V35" s="2"/>
      <c r="W35" s="2"/>
      <c r="X35" s="2"/>
      <c r="Y35" s="2"/>
      <c r="Z35" s="2"/>
      <c r="AA35" s="2"/>
      <c r="AB35" s="2"/>
      <c r="AC35" s="2"/>
      <c r="AD35" s="2"/>
      <c r="AE35" s="2"/>
      <c r="AF35" s="2"/>
    </row>
    <row r="36" spans="1:32" ht="16.5">
      <c r="A36" s="2"/>
      <c r="B36" s="268" t="s">
        <v>3</v>
      </c>
      <c r="C36" s="269">
        <f t="shared" si="10"/>
        <v>6.9163846297180997E-6</v>
      </c>
      <c r="D36" s="269">
        <f t="shared" si="9"/>
        <v>6.2744385973124964E-6</v>
      </c>
      <c r="E36" s="358">
        <v>1.38327692594362E-2</v>
      </c>
      <c r="G36" s="2"/>
      <c r="H36" s="2"/>
      <c r="I36" s="70" t="s">
        <v>26</v>
      </c>
      <c r="J36" s="87" t="s">
        <v>27</v>
      </c>
      <c r="K36" s="71">
        <f>IF(Dashboard!$C$8="Metric Tons", (J34/$J$116), 0)</f>
        <v>0</v>
      </c>
      <c r="L36" s="276">
        <f>K38*1000</f>
        <v>2.9260978314024331</v>
      </c>
      <c r="M36" s="87" t="s">
        <v>27</v>
      </c>
      <c r="N36" s="2"/>
      <c r="O36" s="2"/>
      <c r="P36" s="2"/>
      <c r="Q36" s="2"/>
      <c r="R36" s="2"/>
      <c r="S36" s="2"/>
      <c r="T36" s="2"/>
      <c r="U36" s="310"/>
      <c r="V36" s="2"/>
      <c r="W36" s="2"/>
      <c r="X36" s="2"/>
      <c r="Y36" s="2"/>
      <c r="Z36" s="2"/>
      <c r="AA36" s="2"/>
      <c r="AB36" s="2"/>
      <c r="AC36" s="2"/>
      <c r="AD36" s="2"/>
      <c r="AE36" s="2"/>
      <c r="AF36" s="2"/>
    </row>
    <row r="37" spans="1:32" ht="16.5">
      <c r="A37" s="2"/>
      <c r="B37" s="268" t="s">
        <v>4</v>
      </c>
      <c r="C37" s="269">
        <f t="shared" si="10"/>
        <v>7.3925795412265995E-6</v>
      </c>
      <c r="D37" s="269">
        <f t="shared" si="9"/>
        <v>6.7064353546609262E-6</v>
      </c>
      <c r="E37" s="358">
        <v>1.47851590824532E-2</v>
      </c>
      <c r="G37" s="2"/>
      <c r="H37" s="2"/>
      <c r="I37" s="70" t="s">
        <v>22</v>
      </c>
      <c r="J37" s="87" t="s">
        <v>27</v>
      </c>
      <c r="K37" s="70">
        <f>IF(Dashboard!$C$8="Pounds", (J34*$J$118), 0)</f>
        <v>2.9260978314024329E-3</v>
      </c>
      <c r="L37" s="87" t="s">
        <v>27</v>
      </c>
      <c r="M37" s="87" t="s">
        <v>27</v>
      </c>
      <c r="N37" s="2"/>
      <c r="O37" s="2"/>
      <c r="P37" s="2"/>
      <c r="Q37" s="2"/>
      <c r="R37" s="2"/>
      <c r="S37" s="2"/>
      <c r="T37" s="2"/>
      <c r="U37" s="310"/>
      <c r="V37" s="2"/>
      <c r="W37" s="2"/>
      <c r="X37" s="2"/>
      <c r="Y37" s="2"/>
      <c r="Z37" s="2"/>
      <c r="AA37" s="2"/>
      <c r="AB37" s="2"/>
      <c r="AC37" s="2"/>
      <c r="AD37" s="2"/>
      <c r="AE37" s="2"/>
      <c r="AF37" s="2"/>
    </row>
    <row r="38" spans="1:32" ht="16.5">
      <c r="A38" s="2"/>
      <c r="B38" s="268" t="s">
        <v>6</v>
      </c>
      <c r="C38" s="270">
        <f t="shared" ref="C38:D38" si="11">AVERAGE(C33:C37)</f>
        <v>7.0684757778871093E-6</v>
      </c>
      <c r="D38" s="270">
        <f t="shared" si="11"/>
        <v>6.4124133661362056E-6</v>
      </c>
      <c r="E38" s="358">
        <f>AVERAGE(E33:E37)</f>
        <v>1.4136951555774222E-2</v>
      </c>
      <c r="G38" s="2"/>
      <c r="H38" s="2"/>
      <c r="I38" s="70" t="s">
        <v>23</v>
      </c>
      <c r="J38" s="87" t="s">
        <v>27</v>
      </c>
      <c r="K38" s="71">
        <f>SUM(K35:K37)</f>
        <v>2.9260978314024329E-3</v>
      </c>
      <c r="L38" s="278">
        <f>IF(Dashboard!$G$4="kWh", L35, L36)</f>
        <v>2.9260978314024331</v>
      </c>
      <c r="M38" s="278">
        <f>L38*Dashboard!$C$4</f>
        <v>2.9260978314024331</v>
      </c>
      <c r="N38" s="2"/>
      <c r="O38" s="2"/>
      <c r="P38" s="2"/>
      <c r="Q38" s="2"/>
      <c r="R38" s="2"/>
      <c r="S38" s="2"/>
      <c r="T38" s="2"/>
      <c r="U38" s="310"/>
      <c r="V38" s="2"/>
      <c r="W38" s="2"/>
      <c r="X38" s="2"/>
      <c r="Y38" s="2"/>
      <c r="Z38" s="2"/>
      <c r="AA38" s="2"/>
      <c r="AB38" s="2"/>
      <c r="AC38" s="2"/>
      <c r="AD38" s="2"/>
      <c r="AE38" s="2"/>
      <c r="AF38" s="2"/>
    </row>
    <row r="39" spans="1:32" ht="14.25">
      <c r="A39" s="2"/>
      <c r="B39" s="280"/>
      <c r="C39" s="280"/>
      <c r="D39" s="280"/>
      <c r="E39" s="280"/>
      <c r="F39" s="108"/>
      <c r="G39" s="2"/>
      <c r="H39" s="2"/>
      <c r="I39" s="3"/>
      <c r="J39" s="2"/>
      <c r="K39" s="2"/>
      <c r="L39" s="2"/>
      <c r="M39" s="2"/>
      <c r="N39" s="2"/>
      <c r="O39" s="2"/>
      <c r="P39" s="2"/>
      <c r="Q39" s="2"/>
      <c r="R39" s="2"/>
      <c r="S39" s="2"/>
      <c r="T39" s="2"/>
      <c r="U39" s="310"/>
      <c r="V39" s="2"/>
      <c r="W39" s="2"/>
      <c r="X39" s="2"/>
      <c r="Y39" s="2"/>
      <c r="Z39" s="2"/>
      <c r="AA39" s="2"/>
      <c r="AB39" s="2"/>
      <c r="AC39" s="2"/>
      <c r="AD39" s="2"/>
      <c r="AE39" s="2"/>
      <c r="AF39" s="2"/>
    </row>
    <row r="40" spans="1:32" ht="32.25" customHeight="1">
      <c r="A40" s="309" t="s">
        <v>81</v>
      </c>
      <c r="B40" s="291"/>
      <c r="C40" s="280"/>
      <c r="D40" s="271"/>
      <c r="E40" s="271"/>
      <c r="F40" s="271"/>
      <c r="G40" s="2"/>
      <c r="H40" s="2"/>
      <c r="I40" s="69"/>
      <c r="J40" s="282" t="s">
        <v>30</v>
      </c>
      <c r="K40" s="282" t="s">
        <v>31</v>
      </c>
      <c r="L40" s="282" t="s">
        <v>32</v>
      </c>
      <c r="M40" s="282" t="s">
        <v>33</v>
      </c>
      <c r="N40" s="2"/>
      <c r="O40" s="2"/>
      <c r="P40" s="2"/>
      <c r="Q40" s="2"/>
      <c r="R40" s="2"/>
      <c r="S40" s="2"/>
      <c r="T40" s="2"/>
      <c r="U40" s="310"/>
      <c r="V40" s="2"/>
      <c r="W40" s="2"/>
      <c r="X40" s="2"/>
      <c r="Y40" s="2"/>
      <c r="Z40" s="2"/>
      <c r="AA40" s="2"/>
      <c r="AB40" s="2"/>
      <c r="AC40" s="2"/>
      <c r="AD40" s="2"/>
      <c r="AE40" s="2"/>
      <c r="AF40" s="2"/>
    </row>
    <row r="41" spans="1:32" ht="18.75" thickBot="1">
      <c r="A41" s="2"/>
      <c r="B41" s="260" t="s">
        <v>213</v>
      </c>
      <c r="C41" s="280"/>
      <c r="D41" s="280"/>
      <c r="E41" s="280"/>
      <c r="F41" s="108"/>
      <c r="G41" s="2"/>
      <c r="H41" s="2"/>
      <c r="I41" s="272" t="s">
        <v>43</v>
      </c>
      <c r="J41" s="284">
        <f>IF(ISNUMBER(Dashboard!$C$12), Dashboard!$C$12, 0)</f>
        <v>0</v>
      </c>
      <c r="K41" s="87" t="s">
        <v>27</v>
      </c>
      <c r="L41" s="275" t="str">
        <f>IF(Dashboard!$H$4="Metric Tons", (1/$J$116)*K41, K41)</f>
        <v>-</v>
      </c>
      <c r="M41" s="87" t="s">
        <v>27</v>
      </c>
      <c r="N41" s="2"/>
      <c r="O41" s="2"/>
      <c r="P41" s="2"/>
      <c r="Q41" s="2"/>
      <c r="R41" s="2"/>
      <c r="S41" s="2"/>
      <c r="T41" s="2"/>
      <c r="U41" s="310"/>
      <c r="V41" s="2"/>
      <c r="W41" s="2"/>
      <c r="X41" s="2"/>
      <c r="Y41" s="2"/>
      <c r="Z41" s="2"/>
      <c r="AA41" s="2"/>
      <c r="AB41" s="2"/>
      <c r="AC41" s="2"/>
      <c r="AD41" s="2"/>
      <c r="AE41" s="2"/>
      <c r="AF41" s="2"/>
    </row>
    <row r="42" spans="1:32" ht="16.5" thickTop="1">
      <c r="A42" s="2"/>
      <c r="B42" s="263" t="s">
        <v>86</v>
      </c>
      <c r="C42" s="264" t="s">
        <v>25</v>
      </c>
      <c r="D42" s="264" t="s">
        <v>84</v>
      </c>
      <c r="E42" s="264" t="s">
        <v>85</v>
      </c>
      <c r="F42" s="265"/>
      <c r="G42" s="2"/>
      <c r="H42" s="2"/>
      <c r="I42" s="70" t="s">
        <v>25</v>
      </c>
      <c r="J42" s="87" t="s">
        <v>27</v>
      </c>
      <c r="K42" s="71">
        <f>IF(Dashboard!$C$8="tons", J41, 0)</f>
        <v>0</v>
      </c>
      <c r="L42" s="71">
        <f>K45</f>
        <v>0</v>
      </c>
      <c r="M42" s="292" t="s">
        <v>27</v>
      </c>
      <c r="N42" s="293"/>
      <c r="O42" s="311" t="s">
        <v>230</v>
      </c>
      <c r="P42" s="312"/>
      <c r="Q42" s="312"/>
      <c r="R42" s="321"/>
      <c r="S42" s="321"/>
      <c r="T42" s="243"/>
      <c r="U42" s="322"/>
      <c r="V42" s="2"/>
      <c r="W42" s="2"/>
      <c r="X42" s="2"/>
      <c r="Y42" s="2"/>
      <c r="Z42" s="2"/>
      <c r="AA42" s="2"/>
      <c r="AB42" s="2"/>
      <c r="AC42" s="2"/>
      <c r="AD42" s="2"/>
      <c r="AE42" s="2"/>
      <c r="AF42" s="2"/>
    </row>
    <row r="43" spans="1:32" ht="18">
      <c r="A43" s="2"/>
      <c r="B43" s="294" t="s">
        <v>46</v>
      </c>
      <c r="C43" s="269">
        <f>'Output Sys. Avg. Rates'!I3</f>
        <v>1.7232000000000001E-6</v>
      </c>
      <c r="D43" s="270">
        <f t="shared" ref="D43:D49" si="12">C43/$J$116</f>
        <v>1.5632607452789359E-6</v>
      </c>
      <c r="E43" s="270">
        <f t="shared" ref="E43:E49" si="13">C43*2000</f>
        <v>3.4464000000000001E-3</v>
      </c>
      <c r="F43" s="271"/>
      <c r="G43" s="2"/>
      <c r="H43" s="2"/>
      <c r="I43" s="70" t="s">
        <v>26</v>
      </c>
      <c r="J43" s="87" t="s">
        <v>27</v>
      </c>
      <c r="K43" s="71">
        <f>IF(Dashboard!$C$8="Metric Tons", (J41/$J$116), 0)</f>
        <v>0</v>
      </c>
      <c r="L43" s="276">
        <f>K45*1000</f>
        <v>0</v>
      </c>
      <c r="M43" s="292" t="s">
        <v>27</v>
      </c>
      <c r="N43" s="295"/>
      <c r="O43" s="313"/>
      <c r="P43" s="314" t="s">
        <v>29</v>
      </c>
      <c r="Q43" s="315"/>
      <c r="R43" s="315"/>
      <c r="S43" s="315"/>
      <c r="T43" s="255"/>
      <c r="U43" s="323"/>
      <c r="V43" s="2"/>
      <c r="W43" s="2"/>
      <c r="X43" s="2"/>
      <c r="Y43" s="2"/>
      <c r="Z43" s="2"/>
      <c r="AA43" s="2"/>
      <c r="AB43" s="2"/>
      <c r="AC43" s="2"/>
      <c r="AD43" s="2"/>
      <c r="AE43" s="2"/>
      <c r="AF43" s="2"/>
    </row>
    <row r="44" spans="1:32" ht="18">
      <c r="A44" s="2"/>
      <c r="B44" s="294" t="s">
        <v>47</v>
      </c>
      <c r="C44" s="269">
        <f>'Output Sys. Avg. Rates'!I31</f>
        <v>9.2004999999999998E-7</v>
      </c>
      <c r="D44" s="270">
        <f t="shared" si="12"/>
        <v>8.3465532073693418E-7</v>
      </c>
      <c r="E44" s="270">
        <f t="shared" si="13"/>
        <v>1.8400999999999999E-3</v>
      </c>
      <c r="F44" s="271"/>
      <c r="G44" s="2"/>
      <c r="H44" s="2"/>
      <c r="I44" s="70" t="s">
        <v>22</v>
      </c>
      <c r="J44" s="87" t="s">
        <v>27</v>
      </c>
      <c r="K44" s="70">
        <f>IF(Dashboard!$C$8="Pounds", (J41*$J$118), 0)</f>
        <v>0</v>
      </c>
      <c r="L44" s="87" t="s">
        <v>27</v>
      </c>
      <c r="M44" s="292" t="s">
        <v>27</v>
      </c>
      <c r="N44" s="296"/>
      <c r="O44" s="313"/>
      <c r="P44" s="316" t="s">
        <v>231</v>
      </c>
      <c r="Q44" s="315"/>
      <c r="R44" s="315"/>
      <c r="S44" s="315"/>
      <c r="T44" s="255"/>
      <c r="U44" s="323"/>
      <c r="V44" s="2"/>
      <c r="W44" s="2"/>
      <c r="X44" s="2"/>
      <c r="Y44" s="2"/>
      <c r="Z44" s="2"/>
      <c r="AA44" s="2"/>
      <c r="AB44" s="2"/>
      <c r="AC44" s="2"/>
      <c r="AD44" s="2"/>
      <c r="AE44" s="2"/>
      <c r="AF44" s="2"/>
    </row>
    <row r="45" spans="1:32" ht="18">
      <c r="A45" s="2"/>
      <c r="B45" s="294" t="s">
        <v>68</v>
      </c>
      <c r="C45" s="269">
        <f>'Output Sys. Avg. Rates'!I59</f>
        <v>6.3644999999999996E-7</v>
      </c>
      <c r="D45" s="270">
        <f t="shared" si="12"/>
        <v>5.7737772825718352E-7</v>
      </c>
      <c r="E45" s="270">
        <f t="shared" si="13"/>
        <v>1.2729E-3</v>
      </c>
      <c r="F45" s="271"/>
      <c r="G45" s="2"/>
      <c r="H45" s="2"/>
      <c r="I45" s="70" t="s">
        <v>23</v>
      </c>
      <c r="J45" s="87" t="s">
        <v>27</v>
      </c>
      <c r="K45" s="71">
        <f>SUM(K42:K44)</f>
        <v>0</v>
      </c>
      <c r="L45" s="70">
        <f>IF(Dashboard!$G$4="kWh", L42, L43)</f>
        <v>0</v>
      </c>
      <c r="M45" s="297">
        <f>L45*Dashboard!$C$4</f>
        <v>0</v>
      </c>
      <c r="N45" s="296"/>
      <c r="O45" s="313"/>
      <c r="P45" s="316" t="s">
        <v>8</v>
      </c>
      <c r="Q45" s="315"/>
      <c r="R45" s="315"/>
      <c r="S45" s="315"/>
      <c r="T45" s="255"/>
      <c r="U45" s="323"/>
      <c r="V45" s="2"/>
      <c r="W45" s="2"/>
      <c r="X45" s="2"/>
      <c r="Y45" s="2"/>
      <c r="Z45" s="2"/>
      <c r="AA45" s="2"/>
      <c r="AB45" s="2"/>
      <c r="AC45" s="2"/>
      <c r="AD45" s="2"/>
      <c r="AE45" s="2"/>
      <c r="AF45" s="2"/>
    </row>
    <row r="46" spans="1:32" ht="18">
      <c r="A46" s="2"/>
      <c r="B46" s="294" t="s">
        <v>62</v>
      </c>
      <c r="C46" s="269">
        <f>'Output Sys. Avg. Rates'!I87</f>
        <v>7.0900000000000001E-7</v>
      </c>
      <c r="D46" s="270">
        <f t="shared" si="12"/>
        <v>6.4319398119937643E-7</v>
      </c>
      <c r="E46" s="270">
        <f t="shared" si="13"/>
        <v>1.418E-3</v>
      </c>
      <c r="F46" s="271"/>
      <c r="G46" s="2"/>
      <c r="H46" s="2"/>
      <c r="I46" s="3"/>
      <c r="J46" s="3"/>
      <c r="K46" s="3"/>
      <c r="L46" s="3"/>
      <c r="M46" s="3"/>
      <c r="N46" s="296"/>
      <c r="O46" s="313"/>
      <c r="P46" s="316" t="s">
        <v>46</v>
      </c>
      <c r="Q46" s="315"/>
      <c r="R46" s="315"/>
      <c r="S46" s="315"/>
      <c r="T46" s="255"/>
      <c r="U46" s="323"/>
      <c r="V46" s="2"/>
      <c r="W46" s="2"/>
      <c r="X46" s="2"/>
      <c r="Y46" s="2"/>
      <c r="Z46" s="2"/>
      <c r="AA46" s="2"/>
      <c r="AB46" s="2"/>
      <c r="AC46" s="2"/>
      <c r="AD46" s="2"/>
      <c r="AE46" s="2"/>
      <c r="AF46" s="2"/>
    </row>
    <row r="47" spans="1:32" ht="18" customHeight="1">
      <c r="A47" s="2"/>
      <c r="B47" s="294" t="s">
        <v>53</v>
      </c>
      <c r="C47" s="269">
        <f>'Output Sys. Avg. Rates'!I115</f>
        <v>6.5135000000000002E-7</v>
      </c>
      <c r="D47" s="270">
        <f t="shared" si="12"/>
        <v>5.9089478089451883E-7</v>
      </c>
      <c r="E47" s="270">
        <f t="shared" si="13"/>
        <v>1.3027E-3</v>
      </c>
      <c r="F47" s="271"/>
      <c r="G47" s="2"/>
      <c r="H47" s="2"/>
      <c r="I47" s="77"/>
      <c r="J47" s="267"/>
      <c r="K47" s="267"/>
      <c r="L47" s="267"/>
      <c r="M47" s="267"/>
      <c r="N47" s="296"/>
      <c r="O47" s="313"/>
      <c r="P47" s="316" t="s">
        <v>44</v>
      </c>
      <c r="Q47" s="315"/>
      <c r="R47" s="315"/>
      <c r="S47" s="315"/>
      <c r="T47" s="255"/>
      <c r="U47" s="323"/>
      <c r="V47" s="2"/>
      <c r="W47" s="2"/>
      <c r="X47" s="2"/>
      <c r="Y47" s="2"/>
      <c r="Z47" s="2"/>
      <c r="AA47" s="2"/>
      <c r="AB47" s="2"/>
      <c r="AC47" s="2"/>
      <c r="AD47" s="2"/>
      <c r="AE47" s="2"/>
      <c r="AF47" s="2"/>
    </row>
    <row r="48" spans="1:32" ht="18">
      <c r="A48" s="2"/>
      <c r="B48" s="294" t="s">
        <v>48</v>
      </c>
      <c r="C48" s="270">
        <f>'Output Sys. Avg. Rates'!I143</f>
        <v>5.8535000000000004E-7</v>
      </c>
      <c r="D48" s="270">
        <f t="shared" si="12"/>
        <v>5.3102058800430898E-7</v>
      </c>
      <c r="E48" s="270">
        <f t="shared" si="13"/>
        <v>1.1707E-3</v>
      </c>
      <c r="F48" s="271"/>
      <c r="G48" s="2"/>
      <c r="H48" s="2"/>
      <c r="I48" s="277"/>
      <c r="J48" s="298"/>
      <c r="K48" s="239"/>
      <c r="L48" s="114"/>
      <c r="M48" s="239"/>
      <c r="N48" s="296"/>
      <c r="O48" s="313"/>
      <c r="P48" s="314" t="s">
        <v>190</v>
      </c>
      <c r="Q48" s="315"/>
      <c r="R48" s="315"/>
      <c r="S48" s="315"/>
      <c r="T48" s="255"/>
      <c r="U48" s="323"/>
      <c r="V48" s="2"/>
      <c r="W48" s="2"/>
      <c r="X48" s="2"/>
      <c r="Y48" s="2"/>
      <c r="Z48" s="2"/>
      <c r="AA48" s="2"/>
      <c r="AB48" s="2"/>
      <c r="AC48" s="2"/>
      <c r="AD48" s="2"/>
      <c r="AE48" s="2"/>
      <c r="AF48" s="2"/>
    </row>
    <row r="49" spans="1:32" ht="18">
      <c r="A49" s="2"/>
      <c r="B49" s="294" t="s">
        <v>52</v>
      </c>
      <c r="C49" s="299">
        <f>'Output Sys. Avg. Rates'!I171</f>
        <v>4.8360000000000002E-7</v>
      </c>
      <c r="D49" s="270">
        <f t="shared" si="12"/>
        <v>4.3871454063190192E-7</v>
      </c>
      <c r="E49" s="270">
        <f t="shared" si="13"/>
        <v>9.6719999999999998E-4</v>
      </c>
      <c r="F49" s="271"/>
      <c r="G49" s="2"/>
      <c r="H49" s="2"/>
      <c r="I49" s="77"/>
      <c r="J49" s="239"/>
      <c r="K49" s="3"/>
      <c r="L49" s="3"/>
      <c r="M49" s="239"/>
      <c r="N49" s="296"/>
      <c r="O49" s="313"/>
      <c r="P49" s="316" t="s">
        <v>232</v>
      </c>
      <c r="Q49" s="315"/>
      <c r="R49" s="315"/>
      <c r="S49" s="315"/>
      <c r="T49" s="255"/>
      <c r="U49" s="323"/>
      <c r="V49" s="2"/>
      <c r="W49" s="2"/>
      <c r="X49" s="2"/>
      <c r="Y49" s="2"/>
      <c r="Z49" s="2"/>
      <c r="AA49" s="2"/>
      <c r="AB49" s="2"/>
      <c r="AC49" s="2"/>
      <c r="AD49" s="2"/>
      <c r="AE49" s="2"/>
      <c r="AF49" s="2"/>
    </row>
    <row r="50" spans="1:32" ht="18.75" thickBot="1">
      <c r="A50" s="2"/>
      <c r="B50" s="280"/>
      <c r="C50" s="280"/>
      <c r="D50" s="280"/>
      <c r="E50" s="280"/>
      <c r="F50" s="108"/>
      <c r="G50" s="2"/>
      <c r="H50" s="2"/>
      <c r="I50" s="77"/>
      <c r="J50" s="239"/>
      <c r="K50" s="3"/>
      <c r="L50" s="288"/>
      <c r="M50" s="239"/>
      <c r="N50" s="296"/>
      <c r="O50" s="317"/>
      <c r="P50" s="318" t="s">
        <v>233</v>
      </c>
      <c r="Q50" s="319"/>
      <c r="R50" s="319"/>
      <c r="S50" s="319"/>
      <c r="T50" s="324"/>
      <c r="U50" s="325"/>
      <c r="V50" s="2"/>
      <c r="W50" s="2"/>
      <c r="X50" s="2"/>
      <c r="Y50" s="2"/>
      <c r="Z50" s="2"/>
      <c r="AA50" s="2"/>
      <c r="AB50" s="2"/>
      <c r="AC50" s="2"/>
      <c r="AD50" s="2"/>
      <c r="AE50" s="2"/>
      <c r="AF50" s="2"/>
    </row>
    <row r="51" spans="1:32" ht="18.75" thickTop="1">
      <c r="A51" s="2"/>
      <c r="B51" s="260" t="s">
        <v>87</v>
      </c>
      <c r="C51" s="280"/>
      <c r="D51" s="280"/>
      <c r="E51" s="280"/>
      <c r="F51" s="108"/>
      <c r="G51" s="2"/>
      <c r="H51" s="2"/>
      <c r="I51" s="77"/>
      <c r="J51" s="239"/>
      <c r="K51" s="77"/>
      <c r="L51" s="239"/>
      <c r="M51" s="239"/>
      <c r="N51" s="296"/>
      <c r="O51" s="239"/>
      <c r="P51" s="239"/>
      <c r="Q51" s="114"/>
      <c r="R51" s="114"/>
      <c r="S51" s="2"/>
      <c r="T51" s="2"/>
      <c r="U51" s="310"/>
      <c r="V51" s="2"/>
      <c r="W51" s="2"/>
      <c r="X51" s="2"/>
      <c r="Y51" s="2"/>
      <c r="Z51" s="2"/>
      <c r="AA51" s="2"/>
      <c r="AB51" s="2"/>
      <c r="AC51" s="2"/>
      <c r="AD51" s="2"/>
      <c r="AE51" s="2"/>
      <c r="AF51" s="2"/>
    </row>
    <row r="52" spans="1:32" ht="18">
      <c r="A52" s="2"/>
      <c r="B52" s="263" t="s">
        <v>86</v>
      </c>
      <c r="C52" s="264" t="s">
        <v>25</v>
      </c>
      <c r="D52" s="264" t="s">
        <v>84</v>
      </c>
      <c r="E52" s="264" t="s">
        <v>85</v>
      </c>
      <c r="F52" s="265"/>
      <c r="G52" s="2"/>
      <c r="H52" s="2"/>
      <c r="I52" s="77"/>
      <c r="J52" s="239"/>
      <c r="K52" s="3"/>
      <c r="L52" s="77"/>
      <c r="M52" s="290"/>
      <c r="N52" s="296"/>
      <c r="O52" s="114"/>
      <c r="P52" s="114"/>
      <c r="Q52" s="114"/>
      <c r="R52" s="114"/>
      <c r="S52" s="2"/>
      <c r="T52" s="2"/>
      <c r="U52" s="310"/>
      <c r="V52" s="2"/>
      <c r="W52" s="2"/>
      <c r="X52" s="2"/>
      <c r="Y52" s="2"/>
      <c r="Z52" s="2"/>
      <c r="AA52" s="2"/>
      <c r="AB52" s="2"/>
      <c r="AC52" s="2"/>
      <c r="AD52" s="2"/>
      <c r="AE52" s="2"/>
      <c r="AF52" s="2"/>
    </row>
    <row r="53" spans="1:32" ht="18">
      <c r="A53" s="2"/>
      <c r="B53" s="294" t="s">
        <v>46</v>
      </c>
      <c r="C53" s="269">
        <f>'Output Sys. Avg. Rates'!I10</f>
        <v>1.8269E-6</v>
      </c>
      <c r="D53" s="270">
        <f t="shared" ref="D53:D59" si="14">C53/$J$116</f>
        <v>1.6573358028958263E-6</v>
      </c>
      <c r="E53" s="270">
        <f t="shared" ref="E53:E59" si="15">C53*2000</f>
        <v>3.6538E-3</v>
      </c>
      <c r="F53" s="271"/>
      <c r="G53" s="2"/>
      <c r="H53" s="2"/>
      <c r="I53" s="3"/>
      <c r="J53" s="3"/>
      <c r="K53" s="3"/>
      <c r="L53" s="3"/>
      <c r="M53" s="3"/>
      <c r="N53" s="296"/>
      <c r="O53" s="114"/>
      <c r="P53" s="114"/>
      <c r="Q53" s="114"/>
      <c r="R53" s="114"/>
      <c r="S53" s="2"/>
      <c r="T53" s="2"/>
      <c r="U53" s="310"/>
      <c r="V53" s="2"/>
      <c r="W53" s="2"/>
      <c r="X53" s="2"/>
      <c r="Y53" s="2"/>
      <c r="Z53" s="2"/>
      <c r="AA53" s="2"/>
      <c r="AB53" s="2"/>
      <c r="AC53" s="2"/>
      <c r="AD53" s="2"/>
      <c r="AE53" s="2"/>
      <c r="AF53" s="2"/>
    </row>
    <row r="54" spans="1:32" ht="18">
      <c r="A54" s="2"/>
      <c r="B54" s="294" t="s">
        <v>47</v>
      </c>
      <c r="C54" s="269">
        <f>'Output Sys. Avg. Rates'!I38</f>
        <v>1.2311000000000002E-6</v>
      </c>
      <c r="D54" s="270">
        <f t="shared" si="14"/>
        <v>1.1168351343505677E-6</v>
      </c>
      <c r="E54" s="270">
        <f t="shared" si="15"/>
        <v>2.4622000000000003E-3</v>
      </c>
      <c r="F54" s="271"/>
      <c r="G54" s="2"/>
      <c r="H54" s="2"/>
      <c r="I54" s="2"/>
      <c r="J54" s="2"/>
      <c r="K54" s="2"/>
      <c r="L54" s="2"/>
      <c r="M54" s="2"/>
      <c r="N54" s="296"/>
      <c r="O54" s="239"/>
      <c r="P54" s="239"/>
      <c r="Q54" s="114"/>
      <c r="R54" s="114"/>
      <c r="S54" s="2"/>
      <c r="T54" s="2"/>
      <c r="U54" s="310"/>
      <c r="V54" s="2"/>
      <c r="W54" s="2"/>
      <c r="X54" s="2"/>
      <c r="Y54" s="2"/>
      <c r="Z54" s="2"/>
      <c r="AA54" s="2"/>
      <c r="AB54" s="2"/>
      <c r="AC54" s="2"/>
      <c r="AD54" s="2"/>
      <c r="AE54" s="2"/>
      <c r="AF54" s="2"/>
    </row>
    <row r="55" spans="1:32" ht="18">
      <c r="A55" s="2"/>
      <c r="B55" s="294" t="s">
        <v>68</v>
      </c>
      <c r="C55" s="269">
        <f>'Output Sys. Avg. Rates'!I66</f>
        <v>8.9449999999999997E-7</v>
      </c>
      <c r="D55" s="270">
        <f t="shared" si="14"/>
        <v>8.114767506104968E-7</v>
      </c>
      <c r="E55" s="270">
        <f t="shared" si="15"/>
        <v>1.789E-3</v>
      </c>
      <c r="F55" s="271"/>
      <c r="G55" s="2"/>
      <c r="H55" s="2"/>
      <c r="I55" s="2"/>
      <c r="J55" s="2"/>
      <c r="K55" s="2"/>
      <c r="L55" s="2"/>
      <c r="M55" s="2"/>
      <c r="N55" s="296"/>
      <c r="O55" s="239"/>
      <c r="P55" s="239"/>
      <c r="Q55" s="239"/>
      <c r="R55" s="114"/>
      <c r="S55" s="2"/>
      <c r="T55" s="2"/>
      <c r="U55" s="310"/>
      <c r="V55" s="2"/>
      <c r="W55" s="2"/>
      <c r="X55" s="2"/>
      <c r="Y55" s="2"/>
      <c r="Z55" s="2"/>
      <c r="AA55" s="2"/>
      <c r="AB55" s="2"/>
      <c r="AC55" s="2"/>
      <c r="AD55" s="2"/>
      <c r="AE55" s="2"/>
      <c r="AF55" s="2"/>
    </row>
    <row r="56" spans="1:32" ht="18">
      <c r="A56" s="2"/>
      <c r="B56" s="294" t="s">
        <v>62</v>
      </c>
      <c r="C56" s="269">
        <f>'Output Sys. Avg. Rates'!I94</f>
        <v>1.144E-6</v>
      </c>
      <c r="D56" s="270">
        <f t="shared" si="14"/>
        <v>1.0378193434303057E-6</v>
      </c>
      <c r="E56" s="270">
        <f t="shared" si="15"/>
        <v>2.2880000000000001E-3</v>
      </c>
      <c r="F56" s="271"/>
      <c r="G56" s="2"/>
      <c r="H56" s="2"/>
      <c r="I56" s="2"/>
      <c r="J56" s="2"/>
      <c r="K56" s="2"/>
      <c r="L56" s="2"/>
      <c r="M56" s="2"/>
      <c r="N56" s="296"/>
      <c r="O56" s="114"/>
      <c r="P56" s="239"/>
      <c r="Q56" s="114"/>
      <c r="R56" s="114"/>
      <c r="S56" s="2"/>
      <c r="T56" s="2"/>
      <c r="U56" s="310"/>
      <c r="V56" s="2"/>
      <c r="W56" s="2"/>
      <c r="X56" s="2"/>
      <c r="Y56" s="2"/>
      <c r="Z56" s="2"/>
      <c r="AA56" s="2"/>
      <c r="AB56" s="2"/>
      <c r="AC56" s="2"/>
      <c r="AD56" s="2"/>
      <c r="AE56" s="2"/>
      <c r="AF56" s="2"/>
    </row>
    <row r="57" spans="1:32" ht="18">
      <c r="A57" s="2"/>
      <c r="B57" s="294" t="s">
        <v>53</v>
      </c>
      <c r="C57" s="269">
        <f>'Output Sys. Avg. Rates'!I122</f>
        <v>9.6309999999999994E-7</v>
      </c>
      <c r="D57" s="270">
        <f t="shared" si="14"/>
        <v>8.7370962382668464E-7</v>
      </c>
      <c r="E57" s="270">
        <f t="shared" si="15"/>
        <v>1.9261999999999999E-3</v>
      </c>
      <c r="F57" s="271"/>
      <c r="G57" s="2"/>
      <c r="H57" s="2"/>
      <c r="I57" s="2"/>
      <c r="J57" s="2"/>
      <c r="K57" s="2"/>
      <c r="L57" s="2"/>
      <c r="M57" s="2"/>
      <c r="N57" s="296"/>
      <c r="O57" s="114"/>
      <c r="P57" s="239"/>
      <c r="Q57" s="239"/>
      <c r="R57" s="114"/>
      <c r="S57" s="2"/>
      <c r="T57" s="2"/>
      <c r="U57" s="310"/>
      <c r="V57" s="2"/>
      <c r="W57" s="2"/>
      <c r="X57" s="2"/>
      <c r="Y57" s="2"/>
      <c r="Z57" s="2"/>
      <c r="AA57" s="2"/>
      <c r="AB57" s="2"/>
      <c r="AC57" s="2"/>
      <c r="AD57" s="2"/>
      <c r="AE57" s="2"/>
      <c r="AF57" s="2"/>
    </row>
    <row r="58" spans="1:32" ht="18">
      <c r="A58" s="2"/>
      <c r="B58" s="294" t="s">
        <v>48</v>
      </c>
      <c r="C58" s="270">
        <f>'Output Sys. Avg. Rates'!I150</f>
        <v>8.1535000000000006E-7</v>
      </c>
      <c r="D58" s="270">
        <f t="shared" si="14"/>
        <v>7.3967307837928298E-7</v>
      </c>
      <c r="E58" s="270">
        <f t="shared" si="15"/>
        <v>1.6307000000000001E-3</v>
      </c>
      <c r="F58" s="271"/>
      <c r="G58" s="2"/>
      <c r="H58" s="2"/>
      <c r="I58" s="2"/>
      <c r="J58" s="2"/>
      <c r="K58" s="2"/>
      <c r="L58" s="2"/>
      <c r="M58" s="2"/>
      <c r="N58" s="296"/>
      <c r="O58" s="239"/>
      <c r="P58" s="239"/>
      <c r="Q58" s="239"/>
      <c r="R58" s="114"/>
      <c r="S58" s="2"/>
      <c r="T58" s="2"/>
      <c r="U58" s="310"/>
      <c r="V58" s="2"/>
      <c r="W58" s="2"/>
      <c r="X58" s="2"/>
      <c r="Y58" s="2"/>
      <c r="Z58" s="2"/>
      <c r="AA58" s="2"/>
      <c r="AB58" s="2"/>
      <c r="AC58" s="2"/>
      <c r="AD58" s="2"/>
      <c r="AE58" s="2"/>
      <c r="AF58" s="2"/>
    </row>
    <row r="59" spans="1:32" ht="18">
      <c r="A59" s="2"/>
      <c r="B59" s="294" t="s">
        <v>52</v>
      </c>
      <c r="C59" s="299">
        <f>'Output Sys. Avg. Rates'!I178</f>
        <v>8.0264999999999995E-7</v>
      </c>
      <c r="D59" s="270">
        <f t="shared" si="14"/>
        <v>7.2815183217162131E-7</v>
      </c>
      <c r="E59" s="270">
        <f t="shared" si="15"/>
        <v>1.6052999999999998E-3</v>
      </c>
      <c r="F59" s="271"/>
      <c r="G59" s="2"/>
      <c r="H59" s="2"/>
      <c r="I59" s="2"/>
      <c r="J59" s="2"/>
      <c r="K59" s="2"/>
      <c r="L59" s="2"/>
      <c r="M59" s="2"/>
      <c r="N59" s="296"/>
      <c r="O59" s="114"/>
      <c r="P59" s="114"/>
      <c r="Q59" s="114"/>
      <c r="R59" s="114"/>
      <c r="S59" s="2"/>
      <c r="T59" s="2"/>
      <c r="U59" s="310"/>
      <c r="V59" s="2"/>
      <c r="W59" s="2"/>
      <c r="X59" s="2"/>
      <c r="Y59" s="2"/>
      <c r="Z59" s="2"/>
      <c r="AA59" s="2"/>
      <c r="AB59" s="2"/>
      <c r="AC59" s="2"/>
      <c r="AD59" s="2"/>
      <c r="AE59" s="2"/>
      <c r="AF59" s="2"/>
    </row>
    <row r="60" spans="1:32" ht="18">
      <c r="A60" s="2"/>
      <c r="B60" s="280"/>
      <c r="C60" s="280"/>
      <c r="D60" s="280"/>
      <c r="E60" s="280"/>
      <c r="F60" s="108"/>
      <c r="G60" s="2"/>
      <c r="H60" s="2"/>
      <c r="I60" s="2"/>
      <c r="J60" s="2"/>
      <c r="K60" s="2"/>
      <c r="L60" s="2"/>
      <c r="M60" s="2"/>
      <c r="N60" s="296"/>
      <c r="O60" s="114"/>
      <c r="P60" s="114"/>
      <c r="Q60" s="114"/>
      <c r="R60" s="114"/>
      <c r="S60" s="2"/>
      <c r="T60" s="2"/>
      <c r="U60" s="310"/>
      <c r="V60" s="2"/>
      <c r="W60" s="2"/>
      <c r="X60" s="2"/>
      <c r="Y60" s="2"/>
      <c r="Z60" s="2"/>
      <c r="AA60" s="2"/>
      <c r="AB60" s="2"/>
      <c r="AC60" s="2"/>
      <c r="AD60" s="2"/>
      <c r="AE60" s="2"/>
      <c r="AF60" s="2"/>
    </row>
    <row r="61" spans="1:32" ht="20.25" customHeight="1">
      <c r="A61" s="69"/>
      <c r="B61" s="260" t="s">
        <v>88</v>
      </c>
      <c r="C61" s="280"/>
      <c r="D61" s="280"/>
      <c r="E61" s="280"/>
      <c r="F61" s="108"/>
      <c r="G61" s="2"/>
      <c r="H61" s="2"/>
      <c r="I61" s="2"/>
      <c r="J61" s="2"/>
      <c r="K61" s="2"/>
      <c r="L61" s="2"/>
      <c r="M61" s="2"/>
      <c r="N61" s="296"/>
      <c r="O61" s="114"/>
      <c r="P61" s="239"/>
      <c r="Q61" s="239"/>
      <c r="R61" s="114"/>
      <c r="S61" s="2"/>
      <c r="T61" s="2"/>
      <c r="U61" s="310"/>
      <c r="V61" s="2"/>
      <c r="W61" s="2"/>
      <c r="X61" s="2"/>
      <c r="Y61" s="2"/>
      <c r="Z61" s="2"/>
      <c r="AA61" s="2"/>
      <c r="AB61" s="2"/>
      <c r="AC61" s="2"/>
      <c r="AD61" s="2"/>
      <c r="AE61" s="2"/>
      <c r="AF61" s="2"/>
    </row>
    <row r="62" spans="1:32" ht="13.5" customHeight="1">
      <c r="A62" s="2"/>
      <c r="B62" s="263" t="s">
        <v>86</v>
      </c>
      <c r="C62" s="264" t="s">
        <v>25</v>
      </c>
      <c r="D62" s="264" t="s">
        <v>84</v>
      </c>
      <c r="E62" s="264" t="s">
        <v>85</v>
      </c>
      <c r="F62" s="265"/>
      <c r="G62" s="2"/>
      <c r="H62" s="2"/>
      <c r="I62" s="2"/>
      <c r="J62" s="2"/>
      <c r="K62" s="2"/>
      <c r="L62" s="2"/>
      <c r="M62" s="2"/>
      <c r="N62" s="296"/>
      <c r="O62" s="114"/>
      <c r="P62" s="239"/>
      <c r="Q62" s="239"/>
      <c r="R62" s="114"/>
      <c r="S62" s="2"/>
      <c r="T62" s="2"/>
      <c r="U62" s="310"/>
      <c r="V62" s="2"/>
      <c r="W62" s="2"/>
      <c r="X62" s="2"/>
      <c r="Y62" s="2"/>
      <c r="Z62" s="2"/>
      <c r="AA62" s="2"/>
      <c r="AB62" s="2"/>
      <c r="AC62" s="2"/>
      <c r="AD62" s="2"/>
      <c r="AE62" s="2"/>
      <c r="AF62" s="2"/>
    </row>
    <row r="63" spans="1:32" ht="18">
      <c r="A63" s="2"/>
      <c r="B63" s="294" t="s">
        <v>46</v>
      </c>
      <c r="C63" s="300">
        <f>'Output Sys. Avg. Rates'!I17</f>
        <v>1.21615E-3</v>
      </c>
      <c r="D63" s="270">
        <f t="shared" ref="D63:D69" si="16">C63/$J$116</f>
        <v>1.1032727224761943E-3</v>
      </c>
      <c r="E63" s="270">
        <f t="shared" ref="E63:E69" si="17">C63*2000</f>
        <v>2.4323000000000001</v>
      </c>
      <c r="F63" s="271"/>
      <c r="G63" s="2"/>
      <c r="H63" s="2"/>
      <c r="I63" s="260" t="s">
        <v>28</v>
      </c>
      <c r="J63" s="2"/>
      <c r="K63" s="2"/>
      <c r="L63" s="2"/>
      <c r="M63" s="2"/>
      <c r="N63" s="296"/>
      <c r="O63" s="114"/>
      <c r="P63" s="239"/>
      <c r="Q63" s="239"/>
      <c r="R63" s="114"/>
      <c r="S63" s="2"/>
      <c r="T63" s="2"/>
      <c r="U63" s="310"/>
      <c r="V63" s="2"/>
      <c r="W63" s="2"/>
      <c r="X63" s="2"/>
      <c r="Y63" s="2"/>
      <c r="Z63" s="2"/>
      <c r="AA63" s="2"/>
      <c r="AB63" s="2"/>
      <c r="AC63" s="2"/>
      <c r="AD63" s="2"/>
      <c r="AE63" s="2"/>
      <c r="AF63" s="2"/>
    </row>
    <row r="64" spans="1:32" ht="24.75" customHeight="1">
      <c r="A64" s="2"/>
      <c r="B64" s="294" t="s">
        <v>47</v>
      </c>
      <c r="C64" s="300">
        <f>'Output Sys. Avg. Rates'!I45</f>
        <v>6.7613500000000002E-4</v>
      </c>
      <c r="D64" s="270">
        <f t="shared" si="16"/>
        <v>6.1337935469427422E-4</v>
      </c>
      <c r="E64" s="270">
        <f t="shared" si="17"/>
        <v>1.3522700000000001</v>
      </c>
      <c r="F64" s="271"/>
      <c r="G64" s="2"/>
      <c r="H64" s="2"/>
      <c r="I64" s="82"/>
      <c r="J64" s="266" t="s">
        <v>30</v>
      </c>
      <c r="K64" s="266" t="s">
        <v>31</v>
      </c>
      <c r="L64" s="266" t="s">
        <v>32</v>
      </c>
      <c r="M64" s="301" t="s">
        <v>33</v>
      </c>
      <c r="N64" s="296"/>
      <c r="O64" s="114"/>
      <c r="P64" s="114"/>
      <c r="Q64" s="239"/>
      <c r="R64" s="114"/>
      <c r="S64" s="2"/>
      <c r="T64" s="2"/>
      <c r="U64" s="310"/>
      <c r="V64" s="2"/>
      <c r="W64" s="2"/>
      <c r="X64" s="2"/>
      <c r="Y64" s="2"/>
      <c r="Z64" s="2"/>
      <c r="AA64" s="2"/>
      <c r="AB64" s="2"/>
      <c r="AC64" s="2"/>
      <c r="AD64" s="2"/>
      <c r="AE64" s="2"/>
      <c r="AF64" s="2"/>
    </row>
    <row r="65" spans="1:32" ht="18">
      <c r="A65" s="2"/>
      <c r="B65" s="294" t="s">
        <v>68</v>
      </c>
      <c r="C65" s="300">
        <f>'Output Sys. Avg. Rates'!I73</f>
        <v>5.9802499999999997E-4</v>
      </c>
      <c r="D65" s="270">
        <f t="shared" si="16"/>
        <v>5.4251915459345142E-4</v>
      </c>
      <c r="E65" s="270">
        <f t="shared" si="17"/>
        <v>1.1960499999999998</v>
      </c>
      <c r="F65" s="271"/>
      <c r="G65" s="2"/>
      <c r="H65" s="2"/>
      <c r="I65" s="272" t="s">
        <v>67</v>
      </c>
      <c r="J65" s="70">
        <f>INDEX($B$23:$D$29, MATCH(Dashboard!$G$17, $B$23:$B$29, 0), 2)</f>
        <v>9.5855977516220395E-4</v>
      </c>
      <c r="K65" s="87" t="s">
        <v>27</v>
      </c>
      <c r="L65" s="87" t="s">
        <v>27</v>
      </c>
      <c r="M65" s="292" t="s">
        <v>27</v>
      </c>
      <c r="N65" s="296"/>
      <c r="O65" s="239"/>
      <c r="P65" s="239"/>
      <c r="Q65" s="239"/>
      <c r="R65" s="114"/>
      <c r="S65" s="2"/>
      <c r="T65" s="2"/>
      <c r="U65" s="310"/>
      <c r="V65" s="2"/>
      <c r="W65" s="2"/>
      <c r="X65" s="2"/>
      <c r="Y65" s="2"/>
      <c r="Z65" s="2"/>
      <c r="AA65" s="2"/>
      <c r="AB65" s="2"/>
      <c r="AC65" s="2"/>
      <c r="AD65" s="2"/>
      <c r="AE65" s="2"/>
      <c r="AF65" s="2"/>
    </row>
    <row r="66" spans="1:32" ht="18">
      <c r="A66" s="2"/>
      <c r="B66" s="294" t="s">
        <v>62</v>
      </c>
      <c r="C66" s="300">
        <f>'Output Sys. Avg. Rates'!I101</f>
        <v>7.1360499999999997E-4</v>
      </c>
      <c r="D66" s="270">
        <f t="shared" si="16"/>
        <v>6.4737156693057973E-4</v>
      </c>
      <c r="E66" s="270">
        <f t="shared" si="17"/>
        <v>1.4272099999999999</v>
      </c>
      <c r="F66" s="271"/>
      <c r="G66" s="2"/>
      <c r="H66" s="2"/>
      <c r="I66" s="70" t="s">
        <v>25</v>
      </c>
      <c r="J66" s="87" t="s">
        <v>27</v>
      </c>
      <c r="K66" s="71">
        <f>IF(Dashboard!$C$8="Tons", J65, 0)</f>
        <v>0</v>
      </c>
      <c r="L66" s="71">
        <f>K69</f>
        <v>1.9171195503244078</v>
      </c>
      <c r="M66" s="292" t="s">
        <v>27</v>
      </c>
      <c r="N66" s="296"/>
      <c r="O66" s="114"/>
      <c r="P66" s="114"/>
      <c r="Q66" s="114"/>
      <c r="R66" s="114"/>
      <c r="S66" s="2"/>
      <c r="T66" s="2"/>
      <c r="U66" s="310"/>
      <c r="V66" s="2"/>
      <c r="W66" s="2"/>
      <c r="X66" s="2"/>
      <c r="Y66" s="2"/>
      <c r="Z66" s="2"/>
      <c r="AA66" s="2"/>
      <c r="AB66" s="2"/>
      <c r="AC66" s="2"/>
      <c r="AD66" s="2"/>
      <c r="AE66" s="2"/>
      <c r="AF66" s="2"/>
    </row>
    <row r="67" spans="1:32" ht="18">
      <c r="A67" s="2"/>
      <c r="B67" s="294" t="s">
        <v>53</v>
      </c>
      <c r="C67" s="300">
        <f>'Output Sys. Avg. Rates'!I129</f>
        <v>6.8442500000000001E-4</v>
      </c>
      <c r="D67" s="270">
        <f t="shared" si="16"/>
        <v>6.2089991619518087E-4</v>
      </c>
      <c r="E67" s="270">
        <f t="shared" si="17"/>
        <v>1.3688500000000001</v>
      </c>
      <c r="F67" s="271"/>
      <c r="G67" s="2"/>
      <c r="H67" s="2"/>
      <c r="I67" s="70" t="s">
        <v>26</v>
      </c>
      <c r="J67" s="87" t="s">
        <v>27</v>
      </c>
      <c r="K67" s="71">
        <f>IF(Dashboard!$C$8="Metric Tons", (J65/$J$116), 0)</f>
        <v>0</v>
      </c>
      <c r="L67" s="276">
        <f>K69*1000</f>
        <v>1917.1195503244078</v>
      </c>
      <c r="M67" s="292" t="s">
        <v>27</v>
      </c>
      <c r="N67" s="296"/>
      <c r="O67" s="114"/>
      <c r="P67" s="114"/>
      <c r="Q67" s="114"/>
      <c r="R67" s="114"/>
      <c r="S67" s="2"/>
      <c r="T67" s="2"/>
      <c r="U67" s="310"/>
      <c r="V67" s="2"/>
      <c r="W67" s="2"/>
      <c r="X67" s="2"/>
      <c r="Y67" s="2"/>
      <c r="Z67" s="2"/>
      <c r="AA67" s="2"/>
      <c r="AB67" s="2"/>
      <c r="AC67" s="2"/>
      <c r="AD67" s="2"/>
      <c r="AE67" s="2"/>
      <c r="AF67" s="2"/>
    </row>
    <row r="68" spans="1:32" ht="18">
      <c r="A68" s="2"/>
      <c r="B68" s="294" t="s">
        <v>48</v>
      </c>
      <c r="C68" s="300">
        <f>'Output Sys. Avg. Rates'!I157</f>
        <v>5.6953499999999992E-4</v>
      </c>
      <c r="D68" s="270">
        <f t="shared" si="16"/>
        <v>5.1667346132917749E-4</v>
      </c>
      <c r="E68" s="270">
        <f t="shared" si="17"/>
        <v>1.1390699999999998</v>
      </c>
      <c r="F68" s="271"/>
      <c r="G68" s="2"/>
      <c r="H68" s="2"/>
      <c r="I68" s="70" t="s">
        <v>22</v>
      </c>
      <c r="J68" s="87" t="s">
        <v>27</v>
      </c>
      <c r="K68" s="70">
        <f>IF(Dashboard!$C$8="Pounds", (J65*2000), 0)</f>
        <v>1.9171195503244078</v>
      </c>
      <c r="L68" s="87" t="s">
        <v>27</v>
      </c>
      <c r="M68" s="292" t="s">
        <v>27</v>
      </c>
      <c r="N68" s="296"/>
      <c r="O68" s="114"/>
      <c r="P68" s="114"/>
      <c r="Q68" s="114"/>
      <c r="R68" s="114"/>
      <c r="S68" s="2"/>
      <c r="T68" s="2"/>
      <c r="U68" s="310"/>
      <c r="V68" s="2"/>
      <c r="W68" s="2"/>
      <c r="X68" s="2"/>
      <c r="Y68" s="2"/>
      <c r="Z68" s="2"/>
      <c r="AA68" s="2"/>
      <c r="AB68" s="2"/>
      <c r="AC68" s="2"/>
      <c r="AD68" s="2"/>
      <c r="AE68" s="2"/>
      <c r="AF68" s="2"/>
    </row>
    <row r="69" spans="1:32" ht="18">
      <c r="A69" s="2"/>
      <c r="B69" s="294" t="s">
        <v>52</v>
      </c>
      <c r="C69" s="300">
        <f>'Output Sys. Avg. Rates'!I185</f>
        <v>5.6744E-4</v>
      </c>
      <c r="D69" s="270">
        <f t="shared" si="16"/>
        <v>5.1477290929728377E-4</v>
      </c>
      <c r="E69" s="270">
        <f t="shared" si="17"/>
        <v>1.1348800000000001</v>
      </c>
      <c r="F69" s="271"/>
      <c r="G69" s="2"/>
      <c r="H69" s="2"/>
      <c r="I69" s="70" t="s">
        <v>23</v>
      </c>
      <c r="J69" s="87" t="s">
        <v>27</v>
      </c>
      <c r="K69" s="71">
        <f>SUM(K66:K68)</f>
        <v>1.9171195503244078</v>
      </c>
      <c r="L69" s="278">
        <f>IF(Dashboard!$G$4="kWh", L66, L67)</f>
        <v>1917.1195503244078</v>
      </c>
      <c r="M69" s="297">
        <f>L69*Dashboard!$C$4</f>
        <v>1917.1195503244078</v>
      </c>
      <c r="N69" s="296"/>
      <c r="O69" s="114"/>
      <c r="P69" s="114"/>
      <c r="Q69" s="114"/>
      <c r="R69" s="114"/>
      <c r="S69" s="2"/>
      <c r="T69" s="2"/>
      <c r="U69" s="310"/>
      <c r="V69" s="2"/>
      <c r="W69" s="2"/>
      <c r="X69" s="2"/>
      <c r="Y69" s="2"/>
      <c r="Z69" s="2"/>
      <c r="AA69" s="2"/>
      <c r="AB69" s="2"/>
      <c r="AC69" s="2"/>
      <c r="AD69" s="2"/>
      <c r="AE69" s="2"/>
      <c r="AF69" s="2"/>
    </row>
    <row r="70" spans="1:32" ht="15" customHeight="1">
      <c r="A70" s="2"/>
      <c r="B70" s="280"/>
      <c r="C70" s="286"/>
      <c r="D70" s="280"/>
      <c r="E70" s="280"/>
      <c r="F70" s="108"/>
      <c r="G70" s="2"/>
      <c r="H70" s="2"/>
      <c r="I70" s="277"/>
      <c r="J70" s="77"/>
      <c r="K70" s="77"/>
      <c r="L70" s="3"/>
      <c r="M70" s="3"/>
      <c r="N70" s="296"/>
      <c r="O70" s="114"/>
      <c r="P70" s="114"/>
      <c r="Q70" s="114"/>
      <c r="R70" s="114"/>
      <c r="S70" s="2"/>
      <c r="T70" s="2"/>
      <c r="U70" s="310"/>
      <c r="V70" s="2"/>
      <c r="W70" s="2"/>
      <c r="X70" s="2"/>
      <c r="Y70" s="2"/>
      <c r="Z70" s="2"/>
      <c r="AA70" s="2"/>
      <c r="AB70" s="2"/>
      <c r="AC70" s="2"/>
      <c r="AD70" s="2"/>
      <c r="AE70" s="2"/>
      <c r="AF70" s="2"/>
    </row>
    <row r="71" spans="1:32" ht="25.5" customHeight="1">
      <c r="A71" s="2"/>
      <c r="B71" s="260" t="s">
        <v>216</v>
      </c>
      <c r="C71" s="286"/>
      <c r="D71" s="280"/>
      <c r="E71" s="280"/>
      <c r="F71" s="108"/>
      <c r="G71" s="2"/>
      <c r="H71" s="2"/>
      <c r="I71" s="69"/>
      <c r="J71" s="302" t="s">
        <v>30</v>
      </c>
      <c r="K71" s="266" t="s">
        <v>31</v>
      </c>
      <c r="L71" s="266" t="s">
        <v>32</v>
      </c>
      <c r="M71" s="301" t="s">
        <v>33</v>
      </c>
      <c r="N71" s="296"/>
      <c r="O71" s="114"/>
      <c r="P71" s="114"/>
      <c r="Q71" s="114"/>
      <c r="R71" s="114"/>
      <c r="S71" s="2"/>
      <c r="T71" s="2"/>
      <c r="U71" s="310"/>
      <c r="V71" s="2"/>
      <c r="W71" s="2"/>
      <c r="X71" s="2"/>
      <c r="Y71" s="2"/>
      <c r="Z71" s="2"/>
      <c r="AA71" s="2"/>
      <c r="AB71" s="2"/>
      <c r="AC71" s="2"/>
      <c r="AD71" s="2"/>
      <c r="AE71" s="2"/>
      <c r="AF71" s="2"/>
    </row>
    <row r="72" spans="1:32" ht="18">
      <c r="A72" s="2"/>
      <c r="B72" s="263" t="s">
        <v>86</v>
      </c>
      <c r="C72" s="264" t="s">
        <v>25</v>
      </c>
      <c r="D72" s="264" t="s">
        <v>84</v>
      </c>
      <c r="E72" s="264" t="s">
        <v>85</v>
      </c>
      <c r="F72" s="265"/>
      <c r="G72" s="2"/>
      <c r="H72" s="2"/>
      <c r="I72" s="272" t="s">
        <v>43</v>
      </c>
      <c r="J72" s="284">
        <f>IF(ISNUMBER(Dashboard!$C$12), Dashboard!$C$12, 0)</f>
        <v>0</v>
      </c>
      <c r="K72" s="87" t="s">
        <v>27</v>
      </c>
      <c r="L72" s="275" t="str">
        <f>IF(Dashboard!$H$4="Metric Tons", (1/$J$116)*K72, K72)</f>
        <v>-</v>
      </c>
      <c r="M72" s="292" t="s">
        <v>27</v>
      </c>
      <c r="N72" s="296"/>
      <c r="O72" s="239"/>
      <c r="P72" s="239"/>
      <c r="Q72" s="114"/>
      <c r="R72" s="114"/>
      <c r="S72" s="2"/>
      <c r="T72" s="2"/>
      <c r="U72" s="310"/>
      <c r="V72" s="2"/>
      <c r="W72" s="2"/>
      <c r="X72" s="2"/>
      <c r="Y72" s="2"/>
      <c r="Z72" s="2"/>
      <c r="AA72" s="2"/>
      <c r="AB72" s="2"/>
      <c r="AC72" s="2"/>
      <c r="AD72" s="2"/>
      <c r="AE72" s="2"/>
      <c r="AF72" s="2"/>
    </row>
    <row r="73" spans="1:32" ht="18">
      <c r="A73" s="2"/>
      <c r="B73" s="294" t="s">
        <v>46</v>
      </c>
      <c r="C73" s="300">
        <f>'Output Sys. Avg. Rates'!I24</f>
        <v>4.0450000000000002E-6</v>
      </c>
      <c r="D73" s="270">
        <f t="shared" ref="D73:D79" si="18">C73/$J$116</f>
        <v>3.6695622763772608E-6</v>
      </c>
      <c r="E73" s="270">
        <f t="shared" ref="E73:E79" si="19">C73*2000</f>
        <v>8.09E-3</v>
      </c>
      <c r="F73" s="271"/>
      <c r="G73" s="2"/>
      <c r="H73" s="2"/>
      <c r="I73" s="70" t="s">
        <v>25</v>
      </c>
      <c r="J73" s="87" t="s">
        <v>27</v>
      </c>
      <c r="K73" s="71">
        <f>IF(Dashboard!$C$8="tons", J72, 0)</f>
        <v>0</v>
      </c>
      <c r="L73" s="71">
        <f>K76</f>
        <v>0</v>
      </c>
      <c r="M73" s="292" t="s">
        <v>27</v>
      </c>
      <c r="N73" s="296"/>
      <c r="O73" s="114"/>
      <c r="P73" s="114"/>
      <c r="Q73" s="114"/>
      <c r="R73" s="114"/>
      <c r="S73" s="2"/>
      <c r="T73" s="2"/>
      <c r="U73" s="310"/>
      <c r="V73" s="2"/>
      <c r="W73" s="2"/>
      <c r="X73" s="2"/>
      <c r="Y73" s="2"/>
      <c r="Z73" s="2"/>
      <c r="AA73" s="2"/>
      <c r="AB73" s="2"/>
      <c r="AC73" s="2"/>
      <c r="AD73" s="2"/>
      <c r="AE73" s="2"/>
      <c r="AF73" s="2"/>
    </row>
    <row r="74" spans="1:32" ht="18">
      <c r="A74" s="2"/>
      <c r="B74" s="294" t="s">
        <v>47</v>
      </c>
      <c r="C74" s="300">
        <f>'Output Sys. Avg. Rates'!I52</f>
        <v>5.4687499999999999E-6</v>
      </c>
      <c r="D74" s="270">
        <f t="shared" si="18"/>
        <v>4.9611665510353877E-6</v>
      </c>
      <c r="E74" s="270">
        <f t="shared" si="19"/>
        <v>1.0937499999999999E-2</v>
      </c>
      <c r="F74" s="271"/>
      <c r="G74" s="2"/>
      <c r="H74" s="2"/>
      <c r="I74" s="70" t="s">
        <v>26</v>
      </c>
      <c r="J74" s="87" t="s">
        <v>27</v>
      </c>
      <c r="K74" s="71">
        <f>IF(Dashboard!$C$8="Metric Tons", (J72/$J$116), 0)</f>
        <v>0</v>
      </c>
      <c r="L74" s="276">
        <f>K76*1000</f>
        <v>0</v>
      </c>
      <c r="M74" s="292" t="s">
        <v>27</v>
      </c>
      <c r="N74" s="296"/>
      <c r="O74" s="114"/>
      <c r="P74" s="114"/>
      <c r="Q74" s="114"/>
      <c r="R74" s="114"/>
      <c r="S74" s="2"/>
      <c r="T74" s="2"/>
      <c r="U74" s="310"/>
      <c r="V74" s="2"/>
      <c r="W74" s="2"/>
      <c r="X74" s="2"/>
      <c r="Y74" s="2"/>
      <c r="Z74" s="2"/>
      <c r="AA74" s="2"/>
      <c r="AB74" s="2"/>
      <c r="AC74" s="2"/>
      <c r="AD74" s="2"/>
      <c r="AE74" s="2"/>
      <c r="AF74" s="2"/>
    </row>
    <row r="75" spans="1:32" ht="18">
      <c r="A75" s="2"/>
      <c r="B75" s="294" t="s">
        <v>68</v>
      </c>
      <c r="C75" s="300">
        <f>'Output Sys. Avg. Rates'!I80</f>
        <v>2.88175E-6</v>
      </c>
      <c r="D75" s="270">
        <f t="shared" si="18"/>
        <v>2.6142796266873106E-6</v>
      </c>
      <c r="E75" s="270">
        <f t="shared" si="19"/>
        <v>5.7634999999999995E-3</v>
      </c>
      <c r="F75" s="271"/>
      <c r="G75" s="2"/>
      <c r="H75" s="2"/>
      <c r="I75" s="70" t="s">
        <v>22</v>
      </c>
      <c r="J75" s="87" t="s">
        <v>27</v>
      </c>
      <c r="K75" s="70">
        <f>IF(Dashboard!$C$8="Pounds", (J72*$J$118), 0)</f>
        <v>0</v>
      </c>
      <c r="L75" s="87" t="s">
        <v>27</v>
      </c>
      <c r="M75" s="292" t="s">
        <v>27</v>
      </c>
      <c r="N75" s="296"/>
      <c r="O75" s="114"/>
      <c r="P75" s="114"/>
      <c r="Q75" s="114"/>
      <c r="R75" s="114"/>
      <c r="S75" s="2"/>
      <c r="T75" s="2"/>
      <c r="U75" s="310"/>
      <c r="V75" s="2"/>
      <c r="W75" s="2"/>
      <c r="X75" s="2"/>
      <c r="Y75" s="2"/>
      <c r="Z75" s="2"/>
      <c r="AA75" s="2"/>
      <c r="AB75" s="2"/>
      <c r="AC75" s="2"/>
      <c r="AD75" s="2"/>
      <c r="AE75" s="2"/>
      <c r="AF75" s="2"/>
    </row>
    <row r="76" spans="1:32" ht="18">
      <c r="A76" s="2"/>
      <c r="B76" s="294" t="s">
        <v>62</v>
      </c>
      <c r="C76" s="300">
        <f>'Output Sys. Avg. Rates'!I108</f>
        <v>4.4923000000000002E-6</v>
      </c>
      <c r="D76" s="270">
        <f t="shared" si="18"/>
        <v>4.075346010919547E-6</v>
      </c>
      <c r="E76" s="270">
        <f t="shared" si="19"/>
        <v>8.9846000000000006E-3</v>
      </c>
      <c r="F76" s="271"/>
      <c r="G76" s="2"/>
      <c r="H76" s="2"/>
      <c r="I76" s="70" t="s">
        <v>23</v>
      </c>
      <c r="J76" s="87" t="s">
        <v>27</v>
      </c>
      <c r="K76" s="71">
        <f>SUM(K73:K75)</f>
        <v>0</v>
      </c>
      <c r="L76" s="70">
        <f>IF(Dashboard!$G$4="kWh", L73, L74)</f>
        <v>0</v>
      </c>
      <c r="M76" s="297">
        <f>L76*Dashboard!$C$4</f>
        <v>0</v>
      </c>
      <c r="N76" s="296"/>
      <c r="O76" s="114"/>
      <c r="P76" s="239"/>
      <c r="Q76" s="114"/>
      <c r="R76" s="114"/>
      <c r="S76" s="2"/>
      <c r="T76" s="2"/>
      <c r="U76" s="310"/>
      <c r="V76" s="2"/>
      <c r="W76" s="2"/>
      <c r="X76" s="2"/>
      <c r="Y76" s="2"/>
      <c r="Z76" s="2"/>
      <c r="AA76" s="2"/>
      <c r="AB76" s="2"/>
      <c r="AC76" s="2"/>
      <c r="AD76" s="2"/>
      <c r="AE76" s="2"/>
      <c r="AF76" s="2"/>
    </row>
    <row r="77" spans="1:32" ht="17.25" customHeight="1">
      <c r="A77" s="2"/>
      <c r="B77" s="294" t="s">
        <v>53</v>
      </c>
      <c r="C77" s="300">
        <f>'Output Sys. Avg. Rates'!I136</f>
        <v>3.1221499999999998E-6</v>
      </c>
      <c r="D77" s="270">
        <f t="shared" si="18"/>
        <v>2.832366838366196E-6</v>
      </c>
      <c r="E77" s="270">
        <f t="shared" si="19"/>
        <v>6.2442999999999995E-3</v>
      </c>
      <c r="F77" s="271"/>
      <c r="G77" s="2"/>
      <c r="H77" s="2"/>
      <c r="I77" s="3"/>
      <c r="J77" s="303"/>
      <c r="K77" s="3"/>
      <c r="L77" s="3"/>
      <c r="M77" s="3"/>
      <c r="N77" s="296"/>
      <c r="O77" s="114"/>
      <c r="P77" s="114"/>
      <c r="Q77" s="114"/>
      <c r="R77" s="114"/>
      <c r="S77" s="2"/>
      <c r="T77" s="2"/>
      <c r="U77" s="310"/>
      <c r="V77" s="2"/>
      <c r="W77" s="2"/>
      <c r="X77" s="2"/>
      <c r="Y77" s="2"/>
      <c r="Z77" s="2"/>
      <c r="AA77" s="2"/>
      <c r="AB77" s="2"/>
      <c r="AC77" s="2"/>
      <c r="AD77" s="2"/>
      <c r="AE77" s="2"/>
      <c r="AF77" s="2"/>
    </row>
    <row r="78" spans="1:32" ht="18">
      <c r="A78" s="2"/>
      <c r="B78" s="294" t="s">
        <v>48</v>
      </c>
      <c r="C78" s="300">
        <f>'Output Sys. Avg. Rates'!I164</f>
        <v>3.8959000000000003E-6</v>
      </c>
      <c r="D78" s="270">
        <f t="shared" si="18"/>
        <v>3.534301031529832E-6</v>
      </c>
      <c r="E78" s="270">
        <f t="shared" si="19"/>
        <v>7.7918000000000006E-3</v>
      </c>
      <c r="F78" s="271"/>
      <c r="G78" s="2"/>
      <c r="H78" s="2"/>
      <c r="I78" s="77"/>
      <c r="J78" s="304"/>
      <c r="K78" s="267"/>
      <c r="L78" s="267"/>
      <c r="M78" s="267"/>
      <c r="N78" s="296"/>
      <c r="O78" s="114"/>
      <c r="P78" s="114"/>
      <c r="Q78" s="114"/>
      <c r="R78" s="114"/>
      <c r="S78" s="2"/>
      <c r="T78" s="2"/>
      <c r="U78" s="310"/>
      <c r="V78" s="2"/>
      <c r="W78" s="2"/>
      <c r="X78" s="2"/>
      <c r="Y78" s="2"/>
      <c r="Z78" s="2"/>
      <c r="AA78" s="2"/>
      <c r="AB78" s="2"/>
      <c r="AC78" s="2"/>
      <c r="AD78" s="2"/>
      <c r="AE78" s="2"/>
      <c r="AF78" s="2"/>
    </row>
    <row r="79" spans="1:32" ht="18">
      <c r="A79" s="2"/>
      <c r="B79" s="294" t="s">
        <v>52</v>
      </c>
      <c r="C79" s="300">
        <f>'Output Sys. Avg. Rates'!I192</f>
        <v>2.9428999999999998E-6</v>
      </c>
      <c r="D79" s="270">
        <f t="shared" si="18"/>
        <v>2.6697539735848306E-6</v>
      </c>
      <c r="E79" s="270">
        <f t="shared" si="19"/>
        <v>5.8857999999999992E-3</v>
      </c>
      <c r="F79" s="271"/>
      <c r="G79" s="2"/>
      <c r="H79" s="2"/>
      <c r="I79" s="277"/>
      <c r="J79" s="298"/>
      <c r="K79" s="239"/>
      <c r="L79" s="114"/>
      <c r="M79" s="239"/>
      <c r="N79" s="296"/>
      <c r="O79" s="239"/>
      <c r="P79" s="239"/>
      <c r="Q79" s="114"/>
      <c r="R79" s="114"/>
      <c r="S79" s="2"/>
      <c r="T79" s="2"/>
      <c r="U79" s="310"/>
      <c r="V79" s="2"/>
      <c r="W79" s="2"/>
      <c r="X79" s="2"/>
      <c r="Y79" s="2"/>
      <c r="Z79" s="2"/>
      <c r="AA79" s="2"/>
      <c r="AB79" s="2"/>
      <c r="AC79" s="2"/>
      <c r="AD79" s="2"/>
      <c r="AE79" s="2"/>
      <c r="AF79" s="2"/>
    </row>
    <row r="80" spans="1:32" ht="18">
      <c r="A80" s="2"/>
      <c r="B80" s="280"/>
      <c r="C80" s="286"/>
      <c r="D80" s="280"/>
      <c r="E80" s="280"/>
      <c r="F80" s="108"/>
      <c r="G80" s="2"/>
      <c r="H80" s="2"/>
      <c r="I80" s="77"/>
      <c r="J80" s="239"/>
      <c r="K80" s="3"/>
      <c r="L80" s="3"/>
      <c r="M80" s="239"/>
      <c r="N80" s="296"/>
      <c r="O80" s="114"/>
      <c r="P80" s="114"/>
      <c r="Q80" s="114"/>
      <c r="R80" s="114"/>
      <c r="S80" s="2"/>
      <c r="T80" s="2"/>
      <c r="U80" s="310"/>
      <c r="V80" s="2"/>
      <c r="W80" s="2"/>
      <c r="X80" s="2"/>
      <c r="Y80" s="2"/>
      <c r="Z80" s="2"/>
      <c r="AA80" s="2"/>
      <c r="AB80" s="2"/>
      <c r="AC80" s="2"/>
      <c r="AD80" s="2"/>
      <c r="AE80" s="2"/>
      <c r="AF80" s="2"/>
    </row>
    <row r="81" spans="1:32" ht="20.25">
      <c r="A81" s="309" t="s">
        <v>178</v>
      </c>
      <c r="B81" s="291"/>
      <c r="C81" s="286"/>
      <c r="D81" s="271"/>
      <c r="E81" s="271"/>
      <c r="F81" s="271"/>
      <c r="G81" s="2"/>
      <c r="H81" s="2"/>
      <c r="I81" s="77"/>
      <c r="J81" s="239"/>
      <c r="K81" s="3"/>
      <c r="L81" s="288"/>
      <c r="M81" s="239"/>
      <c r="N81" s="296"/>
      <c r="O81" s="114"/>
      <c r="P81" s="114"/>
      <c r="Q81" s="114"/>
      <c r="R81" s="114"/>
      <c r="S81" s="2"/>
      <c r="T81" s="2"/>
      <c r="U81" s="310"/>
      <c r="V81" s="2"/>
      <c r="W81" s="2"/>
      <c r="X81" s="2"/>
      <c r="Y81" s="2"/>
      <c r="Z81" s="2"/>
      <c r="AA81" s="2"/>
      <c r="AB81" s="2"/>
      <c r="AC81" s="2"/>
      <c r="AD81" s="2"/>
      <c r="AE81" s="2"/>
      <c r="AF81" s="2"/>
    </row>
    <row r="82" spans="1:32" ht="18">
      <c r="A82" s="2"/>
      <c r="B82" s="260" t="s">
        <v>213</v>
      </c>
      <c r="C82" s="286"/>
      <c r="D82" s="280"/>
      <c r="E82" s="280"/>
      <c r="F82" s="108"/>
      <c r="G82" s="2"/>
      <c r="H82" s="2"/>
      <c r="I82" s="77"/>
      <c r="J82" s="239"/>
      <c r="K82" s="77"/>
      <c r="L82" s="239"/>
      <c r="M82" s="239"/>
      <c r="N82" s="296"/>
      <c r="O82" s="239"/>
      <c r="P82" s="239"/>
      <c r="Q82" s="114"/>
      <c r="R82" s="114"/>
      <c r="S82" s="2"/>
      <c r="T82" s="2"/>
      <c r="U82" s="310"/>
      <c r="V82" s="2"/>
      <c r="W82" s="2"/>
      <c r="X82" s="2"/>
      <c r="Y82" s="2"/>
      <c r="Z82" s="2"/>
      <c r="AA82" s="2"/>
      <c r="AB82" s="2"/>
      <c r="AC82" s="2"/>
      <c r="AD82" s="2"/>
      <c r="AE82" s="2"/>
      <c r="AF82" s="2"/>
    </row>
    <row r="83" spans="1:32" ht="18">
      <c r="A83" s="2"/>
      <c r="B83" s="263" t="s">
        <v>86</v>
      </c>
      <c r="C83" s="264" t="s">
        <v>25</v>
      </c>
      <c r="D83" s="264" t="s">
        <v>84</v>
      </c>
      <c r="E83" s="264" t="s">
        <v>85</v>
      </c>
      <c r="F83" s="265"/>
      <c r="G83" s="2"/>
      <c r="H83" s="2"/>
      <c r="I83" s="77"/>
      <c r="J83" s="239"/>
      <c r="K83" s="3"/>
      <c r="L83" s="77"/>
      <c r="M83" s="290"/>
      <c r="N83" s="296"/>
      <c r="O83" s="239"/>
      <c r="P83" s="239"/>
      <c r="Q83" s="239"/>
      <c r="R83" s="114"/>
      <c r="S83" s="2"/>
      <c r="T83" s="2"/>
      <c r="U83" s="310"/>
      <c r="V83" s="2"/>
      <c r="W83" s="2"/>
      <c r="X83" s="2"/>
      <c r="Y83" s="2"/>
      <c r="Z83" s="2"/>
      <c r="AA83" s="2"/>
      <c r="AB83" s="2"/>
      <c r="AC83" s="2"/>
      <c r="AD83" s="2"/>
      <c r="AE83" s="2"/>
      <c r="AF83" s="2"/>
    </row>
    <row r="84" spans="1:32" ht="18">
      <c r="A84" s="2"/>
      <c r="B84" s="294" t="s">
        <v>46</v>
      </c>
      <c r="C84" s="305">
        <f>'Non-Baseload Output Rates'!E3</f>
        <v>1.7232000000000001E-6</v>
      </c>
      <c r="D84" s="270">
        <f t="shared" ref="D84:D90" si="20">C84/$J$116</f>
        <v>1.5632607452789359E-6</v>
      </c>
      <c r="E84" s="270">
        <f t="shared" ref="E84:E90" si="21">C84*2000</f>
        <v>3.4464000000000001E-3</v>
      </c>
      <c r="F84" s="271"/>
      <c r="G84" s="2"/>
      <c r="H84" s="2"/>
      <c r="I84" s="2"/>
      <c r="J84" s="2"/>
      <c r="K84" s="2"/>
      <c r="L84" s="2"/>
      <c r="M84" s="2"/>
      <c r="N84" s="296"/>
      <c r="O84" s="114"/>
      <c r="P84" s="239"/>
      <c r="Q84" s="114"/>
      <c r="R84" s="114"/>
      <c r="S84" s="2"/>
      <c r="T84" s="2"/>
      <c r="U84" s="310"/>
      <c r="V84" s="2"/>
      <c r="W84" s="2"/>
      <c r="X84" s="2"/>
      <c r="Y84" s="2"/>
      <c r="Z84" s="2"/>
      <c r="AA84" s="2"/>
      <c r="AB84" s="2"/>
      <c r="AC84" s="2"/>
      <c r="AD84" s="2"/>
      <c r="AE84" s="2"/>
      <c r="AF84" s="2"/>
    </row>
    <row r="85" spans="1:32" ht="18">
      <c r="A85" s="2"/>
      <c r="B85" s="294" t="s">
        <v>47</v>
      </c>
      <c r="C85" s="305">
        <f>'Non-Baseload Output Rates'!E31</f>
        <v>1.62755E-6</v>
      </c>
      <c r="D85" s="270">
        <f t="shared" si="20"/>
        <v>1.4764885248251694E-6</v>
      </c>
      <c r="E85" s="270">
        <f t="shared" si="21"/>
        <v>3.2550999999999999E-3</v>
      </c>
      <c r="F85" s="271"/>
      <c r="G85" s="2"/>
      <c r="H85" s="2"/>
      <c r="I85" s="2"/>
      <c r="J85" s="2"/>
      <c r="K85" s="2"/>
      <c r="L85" s="2"/>
      <c r="M85" s="2"/>
      <c r="N85" s="296"/>
      <c r="O85" s="114"/>
      <c r="P85" s="239"/>
      <c r="Q85" s="239"/>
      <c r="R85" s="114"/>
      <c r="S85" s="2"/>
      <c r="T85" s="2"/>
      <c r="U85" s="310"/>
      <c r="V85" s="2"/>
      <c r="W85" s="2"/>
      <c r="X85" s="2"/>
      <c r="Y85" s="2"/>
      <c r="Z85" s="2"/>
      <c r="AA85" s="2"/>
      <c r="AB85" s="2"/>
      <c r="AC85" s="2"/>
      <c r="AD85" s="2"/>
      <c r="AE85" s="2"/>
      <c r="AF85" s="2"/>
    </row>
    <row r="86" spans="1:32" ht="18">
      <c r="A86" s="2"/>
      <c r="B86" s="294" t="s">
        <v>68</v>
      </c>
      <c r="C86" s="305">
        <f>'Non-Baseload Output Rates'!E59</f>
        <v>8.0979999999999996E-7</v>
      </c>
      <c r="D86" s="270">
        <f t="shared" si="20"/>
        <v>7.346382030680607E-7</v>
      </c>
      <c r="E86" s="270">
        <f t="shared" si="21"/>
        <v>1.6195999999999999E-3</v>
      </c>
      <c r="F86" s="271"/>
      <c r="G86" s="2"/>
      <c r="H86" s="2"/>
      <c r="I86" s="2"/>
      <c r="J86" s="2"/>
      <c r="K86" s="2"/>
      <c r="L86" s="2"/>
      <c r="M86" s="2"/>
      <c r="N86" s="296"/>
      <c r="O86" s="239"/>
      <c r="P86" s="239"/>
      <c r="Q86" s="239"/>
      <c r="R86" s="114"/>
      <c r="S86" s="2"/>
      <c r="T86" s="2"/>
      <c r="U86" s="310"/>
      <c r="V86" s="2"/>
      <c r="W86" s="2"/>
      <c r="X86" s="2"/>
      <c r="Y86" s="2"/>
      <c r="Z86" s="2"/>
      <c r="AA86" s="2"/>
      <c r="AB86" s="2"/>
      <c r="AC86" s="2"/>
      <c r="AD86" s="2"/>
      <c r="AE86" s="2"/>
      <c r="AF86" s="2"/>
    </row>
    <row r="87" spans="1:32" ht="18">
      <c r="A87" s="2"/>
      <c r="B87" s="294" t="s">
        <v>62</v>
      </c>
      <c r="C87" s="305">
        <f>'Non-Baseload Output Rates'!E87</f>
        <v>1.1572499999999998E-6</v>
      </c>
      <c r="D87" s="270">
        <f t="shared" si="20"/>
        <v>1.0498395412453855E-6</v>
      </c>
      <c r="E87" s="270">
        <f t="shared" si="21"/>
        <v>2.3144999999999997E-3</v>
      </c>
      <c r="F87" s="271"/>
      <c r="G87" s="2"/>
      <c r="H87" s="2"/>
      <c r="I87" s="2"/>
      <c r="J87" s="2"/>
      <c r="K87" s="2"/>
      <c r="L87" s="2"/>
      <c r="M87" s="2"/>
      <c r="N87" s="296"/>
      <c r="O87" s="114"/>
      <c r="P87" s="114"/>
      <c r="Q87" s="114"/>
      <c r="R87" s="114"/>
      <c r="S87" s="2"/>
      <c r="T87" s="2"/>
      <c r="U87" s="310"/>
      <c r="V87" s="2"/>
      <c r="W87" s="2"/>
      <c r="X87" s="2"/>
      <c r="Y87" s="2"/>
      <c r="Z87" s="2"/>
      <c r="AA87" s="2"/>
      <c r="AB87" s="2"/>
      <c r="AC87" s="2"/>
      <c r="AD87" s="2"/>
      <c r="AE87" s="2"/>
      <c r="AF87" s="2"/>
    </row>
    <row r="88" spans="1:32" ht="18">
      <c r="A88" s="2"/>
      <c r="B88" s="294" t="s">
        <v>53</v>
      </c>
      <c r="C88" s="305">
        <f>'Non-Baseload Output Rates'!E115</f>
        <v>9.6780000000000008E-7</v>
      </c>
      <c r="D88" s="270">
        <f t="shared" si="20"/>
        <v>8.7797339210826038E-7</v>
      </c>
      <c r="E88" s="270">
        <f t="shared" si="21"/>
        <v>1.9356000000000002E-3</v>
      </c>
      <c r="F88" s="271"/>
      <c r="G88" s="2"/>
      <c r="H88" s="2"/>
      <c r="I88" s="2"/>
      <c r="J88" s="2"/>
      <c r="K88" s="2"/>
      <c r="L88" s="2"/>
      <c r="M88" s="2"/>
      <c r="N88" s="296"/>
      <c r="O88" s="114"/>
      <c r="P88" s="114"/>
      <c r="Q88" s="114"/>
      <c r="R88" s="114"/>
      <c r="S88" s="2"/>
      <c r="T88" s="2"/>
      <c r="U88" s="310"/>
      <c r="V88" s="2"/>
      <c r="W88" s="2"/>
      <c r="X88" s="2"/>
      <c r="Y88" s="2"/>
      <c r="Z88" s="2"/>
      <c r="AA88" s="2"/>
      <c r="AB88" s="2"/>
      <c r="AC88" s="2"/>
      <c r="AD88" s="2"/>
      <c r="AE88" s="2"/>
      <c r="AF88" s="2"/>
    </row>
    <row r="89" spans="1:32" ht="18">
      <c r="A89" s="2"/>
      <c r="B89" s="294" t="s">
        <v>48</v>
      </c>
      <c r="C89" s="300">
        <f>'Non-Baseload Output Rates'!E143</f>
        <v>1.1472500000000001E-6</v>
      </c>
      <c r="D89" s="270">
        <f t="shared" si="20"/>
        <v>1.0407676938377781E-6</v>
      </c>
      <c r="E89" s="270">
        <f t="shared" si="21"/>
        <v>2.2945000000000001E-3</v>
      </c>
      <c r="F89" s="271"/>
      <c r="G89" s="2"/>
      <c r="H89" s="2"/>
      <c r="I89" s="2"/>
      <c r="J89" s="2"/>
      <c r="K89" s="2"/>
      <c r="L89" s="2"/>
      <c r="M89" s="2"/>
      <c r="N89" s="296"/>
      <c r="O89" s="114"/>
      <c r="P89" s="239"/>
      <c r="Q89" s="239"/>
      <c r="R89" s="114"/>
      <c r="S89" s="2"/>
      <c r="T89" s="2"/>
      <c r="U89" s="310"/>
      <c r="V89" s="2"/>
      <c r="W89" s="2"/>
      <c r="X89" s="2"/>
      <c r="Y89" s="2"/>
      <c r="Z89" s="2"/>
      <c r="AA89" s="2"/>
      <c r="AB89" s="2"/>
      <c r="AC89" s="2"/>
      <c r="AD89" s="2"/>
      <c r="AE89" s="2"/>
      <c r="AF89" s="2"/>
    </row>
    <row r="90" spans="1:32" ht="18">
      <c r="A90" s="2"/>
      <c r="B90" s="294" t="s">
        <v>52</v>
      </c>
      <c r="C90" s="300">
        <f>'Non-Baseload Output Rates'!E171</f>
        <v>9.1249999999999995E-7</v>
      </c>
      <c r="D90" s="270">
        <f t="shared" si="20"/>
        <v>8.2780607594419043E-7</v>
      </c>
      <c r="E90" s="270">
        <f t="shared" si="21"/>
        <v>1.8249999999999998E-3</v>
      </c>
      <c r="F90" s="271"/>
      <c r="G90" s="2"/>
      <c r="H90" s="2"/>
      <c r="I90" s="2"/>
      <c r="J90" s="2"/>
      <c r="K90" s="2"/>
      <c r="L90" s="2"/>
      <c r="M90" s="2"/>
      <c r="N90" s="296"/>
      <c r="O90" s="114"/>
      <c r="P90" s="239"/>
      <c r="Q90" s="239"/>
      <c r="R90" s="114"/>
      <c r="S90" s="2"/>
      <c r="T90" s="2"/>
      <c r="U90" s="310"/>
      <c r="V90" s="2"/>
      <c r="W90" s="2"/>
      <c r="X90" s="2"/>
      <c r="Y90" s="2"/>
      <c r="Z90" s="2"/>
      <c r="AA90" s="2"/>
      <c r="AB90" s="2"/>
      <c r="AC90" s="2"/>
      <c r="AD90" s="2"/>
      <c r="AE90" s="2"/>
      <c r="AF90" s="2"/>
    </row>
    <row r="91" spans="1:32" ht="12" customHeight="1">
      <c r="A91" s="2"/>
      <c r="B91" s="280"/>
      <c r="C91" s="280"/>
      <c r="D91" s="280"/>
      <c r="E91" s="280"/>
      <c r="F91" s="108"/>
      <c r="G91" s="2"/>
      <c r="H91" s="2"/>
      <c r="I91" s="2"/>
      <c r="J91" s="2"/>
      <c r="K91" s="2"/>
      <c r="L91" s="2"/>
      <c r="M91" s="2"/>
      <c r="N91" s="296"/>
      <c r="O91" s="114"/>
      <c r="P91" s="239"/>
      <c r="Q91" s="239"/>
      <c r="R91" s="114"/>
      <c r="S91" s="2"/>
      <c r="T91" s="2"/>
      <c r="U91" s="310"/>
      <c r="V91" s="2"/>
      <c r="W91" s="2"/>
      <c r="X91" s="2"/>
      <c r="Y91" s="2"/>
      <c r="Z91" s="2"/>
      <c r="AA91" s="2"/>
      <c r="AB91" s="2"/>
      <c r="AC91" s="2"/>
      <c r="AD91" s="2"/>
      <c r="AE91" s="2"/>
      <c r="AF91" s="2"/>
    </row>
    <row r="92" spans="1:32" ht="20.25">
      <c r="A92" s="2"/>
      <c r="B92" s="260" t="s">
        <v>87</v>
      </c>
      <c r="C92" s="280"/>
      <c r="D92" s="280"/>
      <c r="E92" s="280"/>
      <c r="F92" s="108"/>
      <c r="G92" s="2"/>
      <c r="H92" s="2"/>
      <c r="I92" s="306"/>
      <c r="J92" s="3"/>
      <c r="K92" s="3"/>
      <c r="L92" s="3"/>
      <c r="M92" s="3"/>
      <c r="N92" s="296"/>
      <c r="O92" s="114"/>
      <c r="P92" s="114"/>
      <c r="Q92" s="239"/>
      <c r="R92" s="114"/>
      <c r="S92" s="2"/>
      <c r="T92" s="2"/>
      <c r="U92" s="310"/>
      <c r="V92" s="2"/>
      <c r="W92" s="2"/>
      <c r="X92" s="2"/>
      <c r="Y92" s="2"/>
      <c r="Z92" s="2"/>
      <c r="AA92" s="2"/>
      <c r="AB92" s="2"/>
      <c r="AC92" s="2"/>
      <c r="AD92" s="2"/>
      <c r="AE92" s="2"/>
      <c r="AF92" s="2"/>
    </row>
    <row r="93" spans="1:32" ht="20.25">
      <c r="A93" s="2"/>
      <c r="B93" s="263" t="s">
        <v>86</v>
      </c>
      <c r="C93" s="264" t="s">
        <v>25</v>
      </c>
      <c r="D93" s="264" t="s">
        <v>84</v>
      </c>
      <c r="E93" s="264" t="s">
        <v>85</v>
      </c>
      <c r="F93" s="265"/>
      <c r="G93" s="2"/>
      <c r="H93" s="2"/>
      <c r="I93" s="262" t="s">
        <v>239</v>
      </c>
      <c r="J93" s="267"/>
      <c r="K93" s="267"/>
      <c r="L93" s="267"/>
      <c r="M93" s="267"/>
      <c r="N93" s="296"/>
      <c r="O93" s="239"/>
      <c r="P93" s="239"/>
      <c r="Q93" s="239"/>
      <c r="R93" s="114"/>
      <c r="S93" s="2"/>
      <c r="T93" s="2"/>
      <c r="U93" s="310"/>
      <c r="V93" s="2"/>
      <c r="W93" s="2"/>
      <c r="X93" s="2"/>
      <c r="Y93" s="2"/>
      <c r="Z93" s="2"/>
      <c r="AA93" s="2"/>
      <c r="AB93" s="2"/>
      <c r="AC93" s="2"/>
      <c r="AD93" s="2"/>
      <c r="AE93" s="2"/>
      <c r="AF93" s="2"/>
    </row>
    <row r="94" spans="1:32" ht="18" customHeight="1">
      <c r="A94" s="2"/>
      <c r="B94" s="294" t="s">
        <v>46</v>
      </c>
      <c r="C94" s="305">
        <f>'Non-Baseload Output Rates'!E10</f>
        <v>1.8179E-6</v>
      </c>
      <c r="D94" s="270">
        <f t="shared" ref="D94:D100" si="22">C94/$J$116</f>
        <v>1.6491711402289794E-6</v>
      </c>
      <c r="E94" s="270">
        <f t="shared" ref="E94:E100" si="23">C94*2000</f>
        <v>3.6357999999999998E-3</v>
      </c>
      <c r="F94" s="271"/>
      <c r="G94" s="2"/>
      <c r="H94" s="2"/>
      <c r="I94" s="82"/>
      <c r="J94" s="266" t="s">
        <v>30</v>
      </c>
      <c r="K94" s="266" t="s">
        <v>31</v>
      </c>
      <c r="L94" s="266" t="s">
        <v>32</v>
      </c>
      <c r="M94" s="301" t="s">
        <v>33</v>
      </c>
      <c r="N94" s="296"/>
      <c r="O94" s="114"/>
      <c r="P94" s="114"/>
      <c r="Q94" s="114"/>
      <c r="R94" s="114"/>
      <c r="S94" s="2"/>
      <c r="T94" s="2"/>
      <c r="U94" s="310"/>
      <c r="V94" s="2"/>
      <c r="W94" s="2"/>
      <c r="X94" s="2"/>
      <c r="Y94" s="2"/>
      <c r="Z94" s="2"/>
      <c r="AA94" s="2"/>
      <c r="AB94" s="2"/>
      <c r="AC94" s="2"/>
      <c r="AD94" s="2"/>
      <c r="AE94" s="2"/>
      <c r="AF94" s="2"/>
    </row>
    <row r="95" spans="1:32" ht="18">
      <c r="A95" s="2"/>
      <c r="B95" s="294" t="s">
        <v>47</v>
      </c>
      <c r="C95" s="305">
        <f>'Non-Baseload Output Rates'!E38</f>
        <v>1.8761000000000001E-6</v>
      </c>
      <c r="D95" s="270">
        <f t="shared" si="22"/>
        <v>1.7019692921412556E-6</v>
      </c>
      <c r="E95" s="270">
        <f t="shared" si="23"/>
        <v>3.7522000000000002E-3</v>
      </c>
      <c r="F95" s="271"/>
      <c r="G95" s="2"/>
      <c r="H95" s="2"/>
      <c r="I95" s="272" t="s">
        <v>67</v>
      </c>
      <c r="J95" s="70">
        <f>INDEX($B$32:$D$38, MATCH(Dashboard!$G$17, $B$32:$B$38, 0), 2)</f>
        <v>7.6203249790733494E-6</v>
      </c>
      <c r="K95" s="87" t="s">
        <v>27</v>
      </c>
      <c r="L95" s="87" t="s">
        <v>27</v>
      </c>
      <c r="M95" s="292" t="s">
        <v>27</v>
      </c>
      <c r="N95" s="296"/>
      <c r="O95" s="114"/>
      <c r="P95" s="114"/>
      <c r="Q95" s="114"/>
      <c r="R95" s="114"/>
      <c r="S95" s="2"/>
      <c r="T95" s="2"/>
      <c r="U95" s="310"/>
      <c r="V95" s="2"/>
      <c r="W95" s="2"/>
      <c r="X95" s="2"/>
      <c r="Y95" s="2"/>
      <c r="Z95" s="2"/>
      <c r="AA95" s="2"/>
      <c r="AB95" s="2"/>
      <c r="AC95" s="2"/>
      <c r="AD95" s="2"/>
      <c r="AE95" s="2"/>
      <c r="AF95" s="2"/>
    </row>
    <row r="96" spans="1:32" ht="18">
      <c r="A96" s="2"/>
      <c r="B96" s="294" t="s">
        <v>68</v>
      </c>
      <c r="C96" s="305">
        <f>'Non-Baseload Output Rates'!E66</f>
        <v>1.1528499999999999E-6</v>
      </c>
      <c r="D96" s="270">
        <f t="shared" si="22"/>
        <v>1.0458479283860382E-6</v>
      </c>
      <c r="E96" s="270">
        <f t="shared" si="23"/>
        <v>2.3056999999999999E-3</v>
      </c>
      <c r="F96" s="271"/>
      <c r="G96" s="2"/>
      <c r="H96" s="2"/>
      <c r="I96" s="70" t="s">
        <v>25</v>
      </c>
      <c r="J96" s="87" t="s">
        <v>27</v>
      </c>
      <c r="K96" s="71">
        <f>IF(Dashboard!$C$8="tons", J95, 0)</f>
        <v>0</v>
      </c>
      <c r="L96" s="71">
        <f>K99</f>
        <v>1.5240649958146699E-2</v>
      </c>
      <c r="M96" s="292" t="s">
        <v>27</v>
      </c>
      <c r="N96" s="296"/>
      <c r="O96" s="114"/>
      <c r="P96" s="114"/>
      <c r="Q96" s="114"/>
      <c r="R96" s="114"/>
      <c r="S96" s="2"/>
      <c r="T96" s="2"/>
      <c r="U96" s="310"/>
      <c r="V96" s="2"/>
      <c r="W96" s="2"/>
      <c r="X96" s="2"/>
      <c r="Y96" s="2"/>
      <c r="Z96" s="2"/>
      <c r="AA96" s="2"/>
      <c r="AB96" s="2"/>
      <c r="AC96" s="2"/>
      <c r="AD96" s="2"/>
      <c r="AE96" s="2"/>
      <c r="AF96" s="2"/>
    </row>
    <row r="97" spans="1:32" ht="18">
      <c r="A97" s="2"/>
      <c r="B97" s="294" t="s">
        <v>62</v>
      </c>
      <c r="C97" s="305">
        <f>'Non-Baseload Output Rates'!E94</f>
        <v>1.52935E-6</v>
      </c>
      <c r="D97" s="270">
        <f t="shared" si="22"/>
        <v>1.3874029832824632E-6</v>
      </c>
      <c r="E97" s="270">
        <f t="shared" si="23"/>
        <v>3.0587000000000001E-3</v>
      </c>
      <c r="F97" s="271"/>
      <c r="G97" s="2"/>
      <c r="H97" s="2"/>
      <c r="I97" s="70" t="s">
        <v>26</v>
      </c>
      <c r="J97" s="87" t="s">
        <v>27</v>
      </c>
      <c r="K97" s="71">
        <f>IF(Dashboard!$C$8="Metric Tons", (J95/$J$116), 0)</f>
        <v>0</v>
      </c>
      <c r="L97" s="276">
        <f>K99*1000</f>
        <v>15.240649958146699</v>
      </c>
      <c r="M97" s="292" t="s">
        <v>27</v>
      </c>
      <c r="N97" s="296"/>
      <c r="O97" s="114"/>
      <c r="P97" s="114"/>
      <c r="Q97" s="114"/>
      <c r="R97" s="114"/>
      <c r="S97" s="2"/>
      <c r="T97" s="2"/>
      <c r="U97" s="310"/>
      <c r="V97" s="2"/>
      <c r="W97" s="2"/>
      <c r="X97" s="2"/>
      <c r="Y97" s="2"/>
      <c r="Z97" s="2"/>
      <c r="AA97" s="2"/>
      <c r="AB97" s="2"/>
      <c r="AC97" s="2"/>
      <c r="AD97" s="2"/>
      <c r="AE97" s="2"/>
      <c r="AF97" s="2"/>
    </row>
    <row r="98" spans="1:32" ht="18">
      <c r="A98" s="2"/>
      <c r="B98" s="294" t="s">
        <v>53</v>
      </c>
      <c r="C98" s="305">
        <f>'Non-Baseload Output Rates'!E122</f>
        <v>1.29225E-6</v>
      </c>
      <c r="D98" s="270">
        <f t="shared" si="22"/>
        <v>1.1723094812480879E-6</v>
      </c>
      <c r="E98" s="270">
        <f t="shared" si="23"/>
        <v>2.5845E-3</v>
      </c>
      <c r="F98" s="271"/>
      <c r="G98" s="2"/>
      <c r="H98" s="2"/>
      <c r="I98" s="70" t="s">
        <v>22</v>
      </c>
      <c r="J98" s="87" t="s">
        <v>27</v>
      </c>
      <c r="K98" s="70">
        <f>IF(Dashboard!$C$8="Pounds", (J95*$J$118), 0)</f>
        <v>1.5240649958146699E-2</v>
      </c>
      <c r="L98" s="87" t="s">
        <v>27</v>
      </c>
      <c r="M98" s="292" t="s">
        <v>27</v>
      </c>
      <c r="N98" s="296"/>
      <c r="O98" s="114"/>
      <c r="P98" s="114"/>
      <c r="Q98" s="114"/>
      <c r="R98" s="114"/>
      <c r="S98" s="2"/>
      <c r="T98" s="2"/>
      <c r="U98" s="310"/>
      <c r="V98" s="2"/>
      <c r="W98" s="2"/>
      <c r="X98" s="2"/>
      <c r="Y98" s="2"/>
      <c r="Z98" s="2"/>
      <c r="AA98" s="2"/>
      <c r="AB98" s="2"/>
      <c r="AC98" s="2"/>
      <c r="AD98" s="2"/>
      <c r="AE98" s="2"/>
      <c r="AF98" s="2"/>
    </row>
    <row r="99" spans="1:32" ht="18">
      <c r="A99" s="2"/>
      <c r="B99" s="294" t="s">
        <v>48</v>
      </c>
      <c r="C99" s="300">
        <f>'Non-Baseload Output Rates'!E150</f>
        <v>1.3840499999999999E-6</v>
      </c>
      <c r="D99" s="270">
        <f t="shared" si="22"/>
        <v>1.2555890404499252E-6</v>
      </c>
      <c r="E99" s="270">
        <f t="shared" si="23"/>
        <v>2.7680999999999999E-3</v>
      </c>
      <c r="F99" s="271"/>
      <c r="G99" s="2"/>
      <c r="H99" s="2"/>
      <c r="I99" s="70" t="s">
        <v>23</v>
      </c>
      <c r="J99" s="87" t="s">
        <v>27</v>
      </c>
      <c r="K99" s="71">
        <f>SUM(K96:K98)</f>
        <v>1.5240649958146699E-2</v>
      </c>
      <c r="L99" s="278">
        <f>IF(Dashboard!$G$4="kWh", L96, L97)</f>
        <v>15.240649958146699</v>
      </c>
      <c r="M99" s="297">
        <f>L99*Dashboard!$C$4</f>
        <v>15.240649958146699</v>
      </c>
      <c r="N99" s="296"/>
      <c r="O99" s="114"/>
      <c r="P99" s="114"/>
      <c r="Q99" s="114"/>
      <c r="R99" s="114"/>
      <c r="S99" s="2"/>
      <c r="T99" s="2"/>
      <c r="U99" s="310"/>
      <c r="V99" s="2"/>
      <c r="W99" s="2"/>
      <c r="X99" s="2"/>
      <c r="Y99" s="2"/>
      <c r="Z99" s="2"/>
      <c r="AA99" s="2"/>
      <c r="AB99" s="2"/>
      <c r="AC99" s="2"/>
      <c r="AD99" s="2"/>
      <c r="AE99" s="2"/>
      <c r="AF99" s="2"/>
    </row>
    <row r="100" spans="1:32" ht="18">
      <c r="A100" s="2"/>
      <c r="B100" s="294" t="s">
        <v>52</v>
      </c>
      <c r="C100" s="300">
        <f>'Non-Baseload Output Rates'!E178</f>
        <v>1.24395E-6</v>
      </c>
      <c r="D100" s="270">
        <f t="shared" si="22"/>
        <v>1.1284924582693432E-6</v>
      </c>
      <c r="E100" s="270">
        <f t="shared" si="23"/>
        <v>2.4878999999999999E-3</v>
      </c>
      <c r="F100" s="271"/>
      <c r="G100" s="2"/>
      <c r="H100" s="2"/>
      <c r="I100" s="3"/>
      <c r="J100" s="2"/>
      <c r="K100" s="2"/>
      <c r="L100" s="2"/>
      <c r="M100" s="2"/>
      <c r="N100" s="296"/>
      <c r="O100" s="239"/>
      <c r="P100" s="239"/>
      <c r="Q100" s="114"/>
      <c r="R100" s="114"/>
      <c r="S100" s="2"/>
      <c r="T100" s="2"/>
      <c r="U100" s="310"/>
      <c r="V100" s="2"/>
      <c r="W100" s="2"/>
      <c r="X100" s="2"/>
      <c r="Y100" s="2"/>
      <c r="Z100" s="2"/>
      <c r="AA100" s="2"/>
      <c r="AB100" s="2"/>
      <c r="AC100" s="2"/>
      <c r="AD100" s="2"/>
      <c r="AE100" s="2"/>
      <c r="AF100" s="2"/>
    </row>
    <row r="101" spans="1:32" ht="39">
      <c r="A101" s="2"/>
      <c r="B101" s="280"/>
      <c r="C101" s="280"/>
      <c r="D101" s="280"/>
      <c r="E101" s="280"/>
      <c r="F101" s="108"/>
      <c r="G101" s="2"/>
      <c r="H101" s="2"/>
      <c r="I101" s="69"/>
      <c r="J101" s="266" t="s">
        <v>30</v>
      </c>
      <c r="K101" s="266" t="s">
        <v>31</v>
      </c>
      <c r="L101" s="266" t="s">
        <v>32</v>
      </c>
      <c r="M101" s="301" t="s">
        <v>33</v>
      </c>
      <c r="N101" s="296"/>
      <c r="O101" s="114"/>
      <c r="P101" s="114"/>
      <c r="Q101" s="114"/>
      <c r="R101" s="114"/>
      <c r="S101" s="2"/>
      <c r="T101" s="2"/>
      <c r="U101" s="310"/>
      <c r="V101" s="2"/>
      <c r="W101" s="2"/>
      <c r="X101" s="2"/>
      <c r="Y101" s="2"/>
      <c r="Z101" s="2"/>
      <c r="AA101" s="2"/>
      <c r="AB101" s="2"/>
      <c r="AC101" s="2"/>
      <c r="AD101" s="2"/>
      <c r="AE101" s="2"/>
      <c r="AF101" s="2"/>
    </row>
    <row r="102" spans="1:32" ht="18">
      <c r="A102" s="69"/>
      <c r="B102" s="260" t="s">
        <v>88</v>
      </c>
      <c r="C102" s="280"/>
      <c r="D102" s="280"/>
      <c r="E102" s="280"/>
      <c r="F102" s="108"/>
      <c r="G102" s="2"/>
      <c r="H102" s="2"/>
      <c r="I102" s="272" t="s">
        <v>43</v>
      </c>
      <c r="J102" s="284">
        <f>IF(ISNUMBER(Dashboard!$C$12), Dashboard!$C$12, 0)</f>
        <v>0</v>
      </c>
      <c r="K102" s="87" t="s">
        <v>27</v>
      </c>
      <c r="L102" s="275" t="str">
        <f>IF(Dashboard!$H$4="Metric Tons", (1/$J$116)*K102, K102)</f>
        <v>-</v>
      </c>
      <c r="M102" s="292" t="s">
        <v>27</v>
      </c>
      <c r="N102" s="296"/>
      <c r="O102" s="114"/>
      <c r="P102" s="114"/>
      <c r="Q102" s="114"/>
      <c r="R102" s="114"/>
      <c r="S102" s="2"/>
      <c r="T102" s="2"/>
      <c r="U102" s="310"/>
      <c r="V102" s="2"/>
      <c r="W102" s="2"/>
      <c r="X102" s="2"/>
      <c r="Y102" s="2"/>
      <c r="Z102" s="2"/>
      <c r="AA102" s="2"/>
      <c r="AB102" s="2"/>
      <c r="AC102" s="2"/>
      <c r="AD102" s="2"/>
      <c r="AE102" s="2"/>
      <c r="AF102" s="2"/>
    </row>
    <row r="103" spans="1:32" ht="18">
      <c r="A103" s="2"/>
      <c r="B103" s="263" t="s">
        <v>86</v>
      </c>
      <c r="C103" s="264" t="s">
        <v>25</v>
      </c>
      <c r="D103" s="264" t="s">
        <v>84</v>
      </c>
      <c r="E103" s="264" t="s">
        <v>85</v>
      </c>
      <c r="F103" s="265"/>
      <c r="G103" s="2"/>
      <c r="H103" s="2"/>
      <c r="I103" s="70" t="s">
        <v>25</v>
      </c>
      <c r="J103" s="87" t="s">
        <v>27</v>
      </c>
      <c r="K103" s="71">
        <f>IF(Dashboard!$C$8="tons", J102, 0)</f>
        <v>0</v>
      </c>
      <c r="L103" s="71">
        <f>K106</f>
        <v>0</v>
      </c>
      <c r="M103" s="292" t="s">
        <v>27</v>
      </c>
      <c r="N103" s="296"/>
      <c r="O103" s="114"/>
      <c r="P103" s="114"/>
      <c r="Q103" s="114"/>
      <c r="R103" s="114"/>
      <c r="S103" s="2"/>
      <c r="T103" s="2"/>
      <c r="U103" s="310"/>
      <c r="V103" s="2"/>
      <c r="W103" s="2"/>
      <c r="X103" s="2"/>
      <c r="Y103" s="2"/>
      <c r="Z103" s="2"/>
      <c r="AA103" s="2"/>
      <c r="AB103" s="2"/>
      <c r="AC103" s="2"/>
      <c r="AD103" s="2"/>
      <c r="AE103" s="2"/>
      <c r="AF103" s="2"/>
    </row>
    <row r="104" spans="1:32" ht="18">
      <c r="A104" s="2"/>
      <c r="B104" s="294" t="s">
        <v>46</v>
      </c>
      <c r="C104" s="300">
        <f>'Non-Baseload Output Rates'!E17</f>
        <v>1.2161507500000001E-3</v>
      </c>
      <c r="D104" s="270">
        <f t="shared" ref="D104:D110" si="24">C104/$J$116</f>
        <v>1.1032734028647499E-3</v>
      </c>
      <c r="E104" s="270">
        <f t="shared" ref="E104:E110" si="25">C104*2000</f>
        <v>2.4323015000000003</v>
      </c>
      <c r="F104" s="271"/>
      <c r="G104" s="2"/>
      <c r="H104" s="2"/>
      <c r="I104" s="70" t="s">
        <v>26</v>
      </c>
      <c r="J104" s="87" t="s">
        <v>27</v>
      </c>
      <c r="K104" s="71">
        <f>IF(Dashboard!$C$8="Metric Tons", (J102/$J$116), 0)</f>
        <v>0</v>
      </c>
      <c r="L104" s="276">
        <f>K106*1000</f>
        <v>0</v>
      </c>
      <c r="M104" s="292" t="s">
        <v>27</v>
      </c>
      <c r="N104" s="296"/>
      <c r="O104" s="114"/>
      <c r="P104" s="239"/>
      <c r="Q104" s="114"/>
      <c r="R104" s="114"/>
      <c r="S104" s="2"/>
      <c r="T104" s="2"/>
      <c r="U104" s="310"/>
      <c r="V104" s="2"/>
      <c r="W104" s="2"/>
      <c r="X104" s="2"/>
      <c r="Y104" s="2"/>
      <c r="Z104" s="2"/>
      <c r="AA104" s="2"/>
      <c r="AB104" s="2"/>
      <c r="AC104" s="2"/>
      <c r="AD104" s="2"/>
      <c r="AE104" s="2"/>
      <c r="AF104" s="2"/>
    </row>
    <row r="105" spans="1:32" ht="18">
      <c r="A105" s="2"/>
      <c r="B105" s="294" t="s">
        <v>47</v>
      </c>
      <c r="C105" s="300">
        <f>'Non-Baseload Output Rates'!E45</f>
        <v>9.8225999999999999E-4</v>
      </c>
      <c r="D105" s="270">
        <f t="shared" si="24"/>
        <v>8.910912834596608E-4</v>
      </c>
      <c r="E105" s="270">
        <f t="shared" si="25"/>
        <v>1.96452</v>
      </c>
      <c r="F105" s="271"/>
      <c r="G105" s="2"/>
      <c r="H105" s="2"/>
      <c r="I105" s="70" t="s">
        <v>22</v>
      </c>
      <c r="J105" s="87" t="s">
        <v>27</v>
      </c>
      <c r="K105" s="70">
        <f>IF(Dashboard!$C$8="Pounds", (J102*$J$118), 0)</f>
        <v>0</v>
      </c>
      <c r="L105" s="87" t="s">
        <v>27</v>
      </c>
      <c r="M105" s="292" t="s">
        <v>27</v>
      </c>
      <c r="N105" s="296"/>
      <c r="O105" s="114"/>
      <c r="P105" s="114"/>
      <c r="Q105" s="114"/>
      <c r="R105" s="114"/>
      <c r="S105" s="2"/>
      <c r="T105" s="2"/>
      <c r="U105" s="310"/>
      <c r="V105" s="2"/>
      <c r="W105" s="2"/>
      <c r="X105" s="2"/>
      <c r="Y105" s="2"/>
      <c r="Z105" s="2"/>
      <c r="AA105" s="2"/>
      <c r="AB105" s="2"/>
      <c r="AC105" s="2"/>
      <c r="AD105" s="2"/>
      <c r="AE105" s="2"/>
      <c r="AF105" s="2"/>
    </row>
    <row r="106" spans="1:32" ht="18">
      <c r="A106" s="2"/>
      <c r="B106" s="294" t="s">
        <v>68</v>
      </c>
      <c r="C106" s="300">
        <f>'Non-Baseload Output Rates'!E73</f>
        <v>8.0621000000000002E-4</v>
      </c>
      <c r="D106" s="270">
        <f t="shared" si="24"/>
        <v>7.3138140984872963E-4</v>
      </c>
      <c r="E106" s="270">
        <f t="shared" si="25"/>
        <v>1.61242</v>
      </c>
      <c r="F106" s="271"/>
      <c r="G106" s="2"/>
      <c r="H106" s="2"/>
      <c r="I106" s="70" t="s">
        <v>23</v>
      </c>
      <c r="J106" s="87" t="s">
        <v>27</v>
      </c>
      <c r="K106" s="71">
        <f>SUM(K103:K105)</f>
        <v>0</v>
      </c>
      <c r="L106" s="70">
        <f>IF(Dashboard!$G$4="kWh", L103, L104)</f>
        <v>0</v>
      </c>
      <c r="M106" s="297">
        <f>L106*Dashboard!$C$4</f>
        <v>0</v>
      </c>
      <c r="N106" s="296"/>
      <c r="O106" s="114"/>
      <c r="P106" s="114"/>
      <c r="Q106" s="114"/>
      <c r="R106" s="114"/>
      <c r="S106" s="2"/>
      <c r="T106" s="2"/>
      <c r="U106" s="310"/>
      <c r="V106" s="2"/>
      <c r="W106" s="2"/>
      <c r="X106" s="2"/>
      <c r="Y106" s="2"/>
      <c r="Z106" s="2"/>
      <c r="AA106" s="2"/>
      <c r="AB106" s="2"/>
      <c r="AC106" s="2"/>
      <c r="AD106" s="2"/>
      <c r="AE106" s="2"/>
      <c r="AF106" s="2"/>
    </row>
    <row r="107" spans="1:32" ht="18">
      <c r="A107" s="2"/>
      <c r="B107" s="294" t="s">
        <v>62</v>
      </c>
      <c r="C107" s="300">
        <f>'Non-Baseload Output Rates'!E101</f>
        <v>9.41455E-4</v>
      </c>
      <c r="D107" s="270">
        <f t="shared" si="24"/>
        <v>8.540736101129182E-4</v>
      </c>
      <c r="E107" s="270">
        <f t="shared" si="25"/>
        <v>1.8829100000000001</v>
      </c>
      <c r="F107" s="271"/>
      <c r="G107" s="2"/>
      <c r="H107" s="2"/>
      <c r="I107" s="3"/>
      <c r="J107" s="3"/>
      <c r="K107" s="3"/>
      <c r="L107" s="3"/>
      <c r="M107" s="3"/>
      <c r="N107" s="296"/>
      <c r="O107" s="239"/>
      <c r="P107" s="239"/>
      <c r="Q107" s="114"/>
      <c r="R107" s="114"/>
      <c r="S107" s="2"/>
      <c r="T107" s="2"/>
      <c r="U107" s="310"/>
      <c r="V107" s="2"/>
      <c r="W107" s="2"/>
      <c r="X107" s="2"/>
      <c r="Y107" s="2"/>
      <c r="Z107" s="2"/>
      <c r="AA107" s="2"/>
      <c r="AB107" s="2"/>
      <c r="AC107" s="2"/>
      <c r="AD107" s="2"/>
      <c r="AE107" s="2"/>
      <c r="AF107" s="2"/>
    </row>
    <row r="108" spans="1:32" ht="18">
      <c r="A108" s="2"/>
      <c r="B108" s="294" t="s">
        <v>53</v>
      </c>
      <c r="C108" s="300">
        <f>'Non-Baseload Output Rates'!E129</f>
        <v>8.6340499999999992E-4</v>
      </c>
      <c r="D108" s="270">
        <f t="shared" si="24"/>
        <v>7.8326784109654097E-4</v>
      </c>
      <c r="E108" s="270">
        <f t="shared" si="25"/>
        <v>1.72681</v>
      </c>
      <c r="F108" s="271"/>
      <c r="G108" s="2"/>
      <c r="H108" s="2"/>
      <c r="I108" s="77"/>
      <c r="J108" s="267"/>
      <c r="K108" s="267"/>
      <c r="L108" s="267"/>
      <c r="M108" s="267"/>
      <c r="N108" s="296"/>
      <c r="O108" s="114"/>
      <c r="P108" s="114"/>
      <c r="Q108" s="114"/>
      <c r="R108" s="114"/>
      <c r="S108" s="2"/>
      <c r="T108" s="2"/>
      <c r="U108" s="310"/>
      <c r="V108" s="2"/>
      <c r="W108" s="2"/>
      <c r="X108" s="2"/>
      <c r="Y108" s="2"/>
      <c r="Z108" s="2"/>
      <c r="AA108" s="2"/>
      <c r="AB108" s="2"/>
      <c r="AC108" s="2"/>
      <c r="AD108" s="2"/>
      <c r="AE108" s="2"/>
      <c r="AF108" s="2"/>
    </row>
    <row r="109" spans="1:32" ht="18">
      <c r="A109" s="2"/>
      <c r="B109" s="294" t="s">
        <v>48</v>
      </c>
      <c r="C109" s="300">
        <f>'Non-Baseload Output Rates'!E157</f>
        <v>8.9525E-4</v>
      </c>
      <c r="D109" s="270">
        <f t="shared" si="24"/>
        <v>8.1215713916606743E-4</v>
      </c>
      <c r="E109" s="270">
        <f t="shared" si="25"/>
        <v>1.7905</v>
      </c>
      <c r="F109" s="271"/>
      <c r="G109" s="2"/>
      <c r="H109" s="2"/>
      <c r="I109" s="277"/>
      <c r="J109" s="298"/>
      <c r="K109" s="239"/>
      <c r="L109" s="114"/>
      <c r="M109" s="239"/>
      <c r="N109" s="296"/>
      <c r="O109" s="114"/>
      <c r="P109" s="114"/>
      <c r="Q109" s="114"/>
      <c r="R109" s="114"/>
      <c r="S109" s="2"/>
      <c r="T109" s="2"/>
      <c r="U109" s="310"/>
      <c r="V109" s="2"/>
      <c r="W109" s="2"/>
      <c r="X109" s="2"/>
      <c r="Y109" s="2"/>
      <c r="Z109" s="2"/>
      <c r="AA109" s="2"/>
      <c r="AB109" s="2"/>
      <c r="AC109" s="2"/>
      <c r="AD109" s="2"/>
      <c r="AE109" s="2"/>
      <c r="AF109" s="2"/>
    </row>
    <row r="110" spans="1:32" ht="18">
      <c r="A110" s="2"/>
      <c r="B110" s="294" t="s">
        <v>52</v>
      </c>
      <c r="C110" s="300">
        <f>'Non-Baseload Output Rates'!E185</f>
        <v>8.9063999999999994E-4</v>
      </c>
      <c r="D110" s="270">
        <f t="shared" si="24"/>
        <v>8.0797501751116022E-4</v>
      </c>
      <c r="E110" s="270">
        <f t="shared" si="25"/>
        <v>1.78128</v>
      </c>
      <c r="F110" s="271"/>
      <c r="G110" s="2"/>
      <c r="H110" s="2"/>
      <c r="I110" s="77"/>
      <c r="J110" s="239"/>
      <c r="K110" s="3"/>
      <c r="L110" s="3"/>
      <c r="M110" s="239"/>
      <c r="N110" s="296"/>
      <c r="O110" s="239"/>
      <c r="P110" s="239"/>
      <c r="Q110" s="114"/>
      <c r="R110" s="114"/>
      <c r="S110" s="2"/>
      <c r="T110" s="2"/>
      <c r="U110" s="310"/>
      <c r="V110" s="2"/>
      <c r="W110" s="2"/>
      <c r="X110" s="2"/>
      <c r="Y110" s="2"/>
      <c r="Z110" s="2"/>
      <c r="AA110" s="2"/>
      <c r="AB110" s="2"/>
      <c r="AC110" s="2"/>
      <c r="AD110" s="2"/>
      <c r="AE110" s="2"/>
      <c r="AF110" s="2"/>
    </row>
    <row r="111" spans="1:32" ht="18">
      <c r="A111" s="2"/>
      <c r="B111" s="280"/>
      <c r="C111" s="280"/>
      <c r="D111" s="280"/>
      <c r="E111" s="280"/>
      <c r="F111" s="108"/>
      <c r="G111" s="2"/>
      <c r="H111" s="2"/>
      <c r="I111" s="77"/>
      <c r="J111" s="239"/>
      <c r="K111" s="3"/>
      <c r="L111" s="288"/>
      <c r="M111" s="239"/>
      <c r="N111" s="296"/>
      <c r="O111" s="239"/>
      <c r="P111" s="239"/>
      <c r="Q111" s="239"/>
      <c r="R111" s="114"/>
      <c r="S111" s="2"/>
      <c r="T111" s="2"/>
      <c r="U111" s="310"/>
      <c r="V111" s="2"/>
      <c r="W111" s="2"/>
      <c r="X111" s="2"/>
      <c r="Y111" s="2"/>
      <c r="Z111" s="2"/>
      <c r="AA111" s="2"/>
      <c r="AB111" s="2"/>
      <c r="AC111" s="2"/>
      <c r="AD111" s="2"/>
      <c r="AE111" s="2"/>
      <c r="AF111" s="2"/>
    </row>
    <row r="112" spans="1:32" ht="18.75">
      <c r="A112" s="2"/>
      <c r="B112" s="260" t="s">
        <v>217</v>
      </c>
      <c r="C112" s="280"/>
      <c r="D112" s="280"/>
      <c r="E112" s="280"/>
      <c r="F112" s="108"/>
      <c r="G112" s="2"/>
      <c r="H112" s="2"/>
      <c r="I112" s="273" t="s">
        <v>18</v>
      </c>
      <c r="J112" s="274"/>
      <c r="K112" s="77"/>
      <c r="L112" s="239"/>
      <c r="M112" s="239"/>
      <c r="N112" s="296"/>
      <c r="O112" s="114"/>
      <c r="P112" s="239"/>
      <c r="Q112" s="114"/>
      <c r="R112" s="114"/>
      <c r="S112" s="2"/>
      <c r="T112" s="2"/>
      <c r="U112" s="310"/>
      <c r="V112" s="2"/>
      <c r="W112" s="2"/>
      <c r="X112" s="2"/>
      <c r="Y112" s="2"/>
      <c r="Z112" s="2"/>
      <c r="AA112" s="2"/>
      <c r="AB112" s="2"/>
      <c r="AC112" s="2"/>
      <c r="AD112" s="2"/>
      <c r="AE112" s="2"/>
      <c r="AF112" s="2"/>
    </row>
    <row r="113" spans="1:32" ht="18">
      <c r="A113" s="2"/>
      <c r="B113" s="263" t="s">
        <v>86</v>
      </c>
      <c r="C113" s="264" t="s">
        <v>25</v>
      </c>
      <c r="D113" s="264" t="s">
        <v>84</v>
      </c>
      <c r="E113" s="264" t="s">
        <v>85</v>
      </c>
      <c r="F113" s="265"/>
      <c r="G113" s="2"/>
      <c r="H113" s="2"/>
      <c r="I113" s="272" t="s">
        <v>9</v>
      </c>
      <c r="J113" s="307">
        <v>1000</v>
      </c>
      <c r="K113" s="3"/>
      <c r="L113" s="77"/>
      <c r="M113" s="290"/>
      <c r="N113" s="296"/>
      <c r="O113" s="114"/>
      <c r="P113" s="239"/>
      <c r="Q113" s="239"/>
      <c r="R113" s="114"/>
      <c r="S113" s="2"/>
      <c r="T113" s="2"/>
      <c r="U113" s="310"/>
      <c r="V113" s="2"/>
      <c r="W113" s="2"/>
      <c r="X113" s="2"/>
      <c r="Y113" s="2"/>
      <c r="Z113" s="2"/>
      <c r="AA113" s="2"/>
      <c r="AB113" s="2"/>
      <c r="AC113" s="2"/>
      <c r="AD113" s="2"/>
      <c r="AE113" s="2"/>
      <c r="AF113" s="2"/>
    </row>
    <row r="114" spans="1:32" ht="18">
      <c r="A114" s="2"/>
      <c r="B114" s="294" t="s">
        <v>46</v>
      </c>
      <c r="C114" s="300">
        <f>'Non-Baseload Output Rates'!E24</f>
        <v>4.0450000000000002E-6</v>
      </c>
      <c r="D114" s="270">
        <f t="shared" ref="D114:D120" si="26">C114/$J$116</f>
        <v>3.6695622763772608E-6</v>
      </c>
      <c r="E114" s="270">
        <f t="shared" ref="E114:E120" si="27">C114*2000</f>
        <v>8.09E-3</v>
      </c>
      <c r="F114" s="271"/>
      <c r="G114" s="2"/>
      <c r="H114" s="2"/>
      <c r="I114" s="272" t="s">
        <v>10</v>
      </c>
      <c r="J114" s="71">
        <v>1</v>
      </c>
      <c r="K114" s="2"/>
      <c r="L114" s="2"/>
      <c r="M114" s="2"/>
      <c r="N114" s="296"/>
      <c r="O114" s="239"/>
      <c r="P114" s="239"/>
      <c r="Q114" s="239"/>
      <c r="R114" s="114"/>
      <c r="S114" s="2"/>
      <c r="T114" s="2"/>
      <c r="U114" s="310"/>
      <c r="V114" s="2"/>
      <c r="W114" s="2"/>
      <c r="X114" s="2"/>
      <c r="Y114" s="2"/>
      <c r="Z114" s="2"/>
      <c r="AA114" s="2"/>
      <c r="AB114" s="2"/>
      <c r="AC114" s="2"/>
      <c r="AD114" s="2"/>
      <c r="AE114" s="2"/>
      <c r="AF114" s="2"/>
    </row>
    <row r="115" spans="1:32" ht="18">
      <c r="A115" s="2"/>
      <c r="B115" s="294" t="s">
        <v>47</v>
      </c>
      <c r="C115" s="300">
        <f>'Non-Baseload Output Rates'!E52</f>
        <v>8.594599999999999E-6</v>
      </c>
      <c r="D115" s="270">
        <f t="shared" si="26"/>
        <v>7.796889972942399E-6</v>
      </c>
      <c r="E115" s="270">
        <f t="shared" si="27"/>
        <v>1.7189199999999998E-2</v>
      </c>
      <c r="F115" s="271"/>
      <c r="G115" s="2"/>
      <c r="H115" s="2"/>
      <c r="I115" s="308"/>
      <c r="J115" s="2"/>
      <c r="K115" s="2"/>
      <c r="L115" s="2"/>
      <c r="M115" s="2"/>
      <c r="N115" s="296"/>
      <c r="O115" s="114"/>
      <c r="P115" s="114"/>
      <c r="Q115" s="114"/>
      <c r="R115" s="114"/>
      <c r="S115" s="2"/>
      <c r="T115" s="2"/>
      <c r="U115" s="310"/>
      <c r="V115" s="2"/>
      <c r="W115" s="2"/>
      <c r="X115" s="2"/>
      <c r="Y115" s="2"/>
      <c r="Z115" s="2"/>
      <c r="AA115" s="2"/>
      <c r="AB115" s="2"/>
      <c r="AC115" s="2"/>
      <c r="AD115" s="2"/>
      <c r="AE115" s="2"/>
      <c r="AF115" s="2"/>
    </row>
    <row r="116" spans="1:32" ht="18">
      <c r="A116" s="2"/>
      <c r="B116" s="294" t="s">
        <v>68</v>
      </c>
      <c r="C116" s="300">
        <f>'Non-Baseload Output Rates'!E80</f>
        <v>4.3841999999999995E-6</v>
      </c>
      <c r="D116" s="270">
        <f t="shared" si="26"/>
        <v>3.9772793404433091E-6</v>
      </c>
      <c r="E116" s="270">
        <f t="shared" si="27"/>
        <v>8.7683999999999991E-3</v>
      </c>
      <c r="F116" s="271"/>
      <c r="G116" s="2"/>
      <c r="H116" s="2"/>
      <c r="I116" s="272" t="s">
        <v>8</v>
      </c>
      <c r="J116" s="70">
        <v>1.1023113099999999</v>
      </c>
      <c r="K116" s="2"/>
      <c r="L116" s="2"/>
      <c r="M116" s="2"/>
      <c r="N116" s="296"/>
      <c r="O116" s="114"/>
      <c r="P116" s="114"/>
      <c r="Q116" s="114"/>
      <c r="R116" s="114"/>
      <c r="S116" s="2"/>
      <c r="T116" s="2"/>
      <c r="U116" s="310"/>
      <c r="V116" s="2"/>
      <c r="W116" s="2"/>
      <c r="X116" s="2"/>
      <c r="Y116" s="2"/>
      <c r="Z116" s="2"/>
      <c r="AA116" s="2"/>
      <c r="AB116" s="2"/>
      <c r="AC116" s="2"/>
      <c r="AD116" s="2"/>
      <c r="AE116" s="2"/>
      <c r="AF116" s="2"/>
    </row>
    <row r="117" spans="1:32" ht="15" customHeight="1">
      <c r="A117" s="2"/>
      <c r="B117" s="294" t="s">
        <v>62</v>
      </c>
      <c r="C117" s="300">
        <f>'Non-Baseload Output Rates'!E108</f>
        <v>6.0450499999999998E-6</v>
      </c>
      <c r="D117" s="270">
        <f t="shared" si="26"/>
        <v>5.4839771171358118E-6</v>
      </c>
      <c r="E117" s="270">
        <f t="shared" si="27"/>
        <v>1.2090099999999999E-2</v>
      </c>
      <c r="F117" s="271"/>
      <c r="G117" s="2"/>
      <c r="H117" s="2"/>
      <c r="I117" s="272" t="s">
        <v>11</v>
      </c>
      <c r="J117" s="71">
        <v>1</v>
      </c>
      <c r="K117" s="2"/>
      <c r="L117" s="2"/>
      <c r="M117" s="2"/>
      <c r="N117" s="296"/>
      <c r="O117" s="114"/>
      <c r="P117" s="239"/>
      <c r="Q117" s="239"/>
      <c r="R117" s="114"/>
      <c r="S117" s="2"/>
      <c r="T117" s="2"/>
      <c r="U117" s="310"/>
      <c r="V117" s="2"/>
      <c r="W117" s="2"/>
      <c r="X117" s="2"/>
      <c r="Y117" s="2"/>
      <c r="Z117" s="2"/>
      <c r="AA117" s="2"/>
      <c r="AB117" s="2"/>
      <c r="AC117" s="2"/>
      <c r="AD117" s="2"/>
      <c r="AE117" s="2"/>
      <c r="AF117" s="2"/>
    </row>
    <row r="118" spans="1:32" ht="18">
      <c r="A118" s="2"/>
      <c r="B118" s="294" t="s">
        <v>53</v>
      </c>
      <c r="C118" s="300">
        <f>'Non-Baseload Output Rates'!E136</f>
        <v>4.0057000000000005E-6</v>
      </c>
      <c r="D118" s="270">
        <f t="shared" si="26"/>
        <v>3.6339099160653634E-6</v>
      </c>
      <c r="E118" s="270">
        <f t="shared" si="27"/>
        <v>8.0114000000000001E-3</v>
      </c>
      <c r="F118" s="271"/>
      <c r="G118" s="2"/>
      <c r="H118" s="2"/>
      <c r="I118" s="272" t="s">
        <v>24</v>
      </c>
      <c r="J118" s="71">
        <v>2000</v>
      </c>
      <c r="K118" s="2"/>
      <c r="L118" s="2"/>
      <c r="M118" s="2"/>
      <c r="N118" s="296"/>
      <c r="O118" s="114"/>
      <c r="P118" s="239"/>
      <c r="Q118" s="239"/>
      <c r="R118" s="114"/>
      <c r="S118" s="2"/>
      <c r="T118" s="2"/>
      <c r="U118" s="310"/>
      <c r="V118" s="2"/>
      <c r="W118" s="2"/>
      <c r="X118" s="2"/>
      <c r="Y118" s="2"/>
      <c r="Z118" s="2"/>
      <c r="AA118" s="2"/>
      <c r="AB118" s="2"/>
      <c r="AC118" s="2"/>
      <c r="AD118" s="2"/>
      <c r="AE118" s="2"/>
      <c r="AF118" s="2"/>
    </row>
    <row r="119" spans="1:32" ht="18">
      <c r="A119" s="2"/>
      <c r="B119" s="294" t="s">
        <v>48</v>
      </c>
      <c r="C119" s="300">
        <f>'Non-Baseload Output Rates'!E164</f>
        <v>5.2628000000000007E-6</v>
      </c>
      <c r="D119" s="270">
        <f t="shared" si="26"/>
        <v>4.7743318536757108E-6</v>
      </c>
      <c r="E119" s="270">
        <f t="shared" si="27"/>
        <v>1.0525600000000001E-2</v>
      </c>
      <c r="F119" s="271"/>
      <c r="G119" s="2"/>
      <c r="H119" s="2"/>
      <c r="I119" s="2"/>
      <c r="J119" s="2"/>
      <c r="K119" s="2"/>
      <c r="L119" s="2"/>
      <c r="M119" s="2"/>
      <c r="N119" s="296"/>
      <c r="O119" s="114"/>
      <c r="P119" s="239"/>
      <c r="Q119" s="239"/>
      <c r="R119" s="114"/>
      <c r="S119" s="2"/>
      <c r="T119" s="2"/>
      <c r="U119" s="310"/>
      <c r="V119" s="2"/>
      <c r="W119" s="2"/>
      <c r="X119" s="2"/>
      <c r="Y119" s="2"/>
      <c r="Z119" s="2"/>
      <c r="AA119" s="2"/>
      <c r="AB119" s="2"/>
      <c r="AC119" s="2"/>
      <c r="AD119" s="2"/>
      <c r="AE119" s="2"/>
      <c r="AF119" s="2"/>
    </row>
    <row r="120" spans="1:32" ht="18">
      <c r="A120" s="2"/>
      <c r="B120" s="294" t="s">
        <v>52</v>
      </c>
      <c r="C120" s="300">
        <f>'Non-Baseload Output Rates'!E192</f>
        <v>4.6657000000000001E-6</v>
      </c>
      <c r="D120" s="270">
        <f t="shared" si="26"/>
        <v>4.2326518449674628E-6</v>
      </c>
      <c r="E120" s="270">
        <f t="shared" si="27"/>
        <v>9.3314000000000001E-3</v>
      </c>
      <c r="F120" s="271"/>
      <c r="G120" s="2"/>
      <c r="H120" s="2"/>
      <c r="I120" s="2"/>
      <c r="J120" s="2"/>
      <c r="K120" s="2"/>
      <c r="L120" s="2"/>
      <c r="M120" s="2"/>
      <c r="N120" s="296"/>
      <c r="O120" s="114"/>
      <c r="P120" s="114"/>
      <c r="Q120" s="239"/>
      <c r="R120" s="114"/>
      <c r="S120" s="2"/>
      <c r="T120" s="2"/>
      <c r="U120" s="310"/>
      <c r="V120" s="2"/>
      <c r="W120" s="2"/>
      <c r="X120" s="2"/>
      <c r="Y120" s="2"/>
      <c r="Z120" s="2"/>
      <c r="AA120" s="2"/>
      <c r="AB120" s="2"/>
      <c r="AC120" s="2"/>
      <c r="AD120" s="2"/>
      <c r="AE120" s="2"/>
      <c r="AF120" s="2"/>
    </row>
    <row r="121" spans="1:32" ht="11.25" customHeight="1">
      <c r="A121" s="2"/>
      <c r="B121" s="2"/>
      <c r="C121" s="2"/>
      <c r="D121" s="2"/>
      <c r="E121" s="2"/>
      <c r="F121" s="3"/>
      <c r="G121" s="2"/>
      <c r="H121" s="2"/>
      <c r="I121" s="2"/>
      <c r="J121" s="2"/>
      <c r="K121" s="2"/>
      <c r="L121" s="2"/>
      <c r="M121" s="2"/>
      <c r="N121" s="296"/>
      <c r="O121" s="239"/>
      <c r="P121" s="239"/>
      <c r="Q121" s="239"/>
      <c r="R121" s="114"/>
      <c r="S121" s="2"/>
      <c r="T121" s="2"/>
      <c r="U121" s="310"/>
      <c r="V121" s="2"/>
      <c r="W121" s="2"/>
      <c r="X121" s="2"/>
      <c r="Y121" s="2"/>
      <c r="Z121" s="2"/>
      <c r="AA121" s="2"/>
      <c r="AB121" s="2"/>
      <c r="AC121" s="2"/>
      <c r="AD121" s="2"/>
      <c r="AE121" s="2"/>
      <c r="AF121" s="2"/>
    </row>
    <row r="122" spans="1:32" ht="18">
      <c r="A122" s="2"/>
      <c r="B122" s="2"/>
      <c r="C122" s="2"/>
      <c r="D122" s="2"/>
      <c r="E122" s="2"/>
      <c r="F122" s="3"/>
      <c r="G122" s="2"/>
      <c r="H122" s="2"/>
      <c r="I122" s="2"/>
      <c r="J122" s="2"/>
      <c r="K122" s="2"/>
      <c r="L122" s="2"/>
      <c r="M122" s="2"/>
      <c r="N122" s="296"/>
      <c r="O122" s="114"/>
      <c r="P122" s="114"/>
      <c r="Q122" s="114"/>
      <c r="R122" s="114"/>
      <c r="S122" s="2"/>
      <c r="T122" s="2"/>
      <c r="U122" s="310"/>
      <c r="V122" s="2"/>
      <c r="W122" s="2"/>
      <c r="X122" s="2"/>
      <c r="Y122" s="2"/>
      <c r="Z122" s="2"/>
      <c r="AA122" s="2"/>
      <c r="AB122" s="2"/>
      <c r="AC122" s="2"/>
      <c r="AD122" s="2"/>
      <c r="AE122" s="2"/>
      <c r="AF122" s="2"/>
    </row>
    <row r="123" spans="1:32" ht="18">
      <c r="A123" s="2"/>
      <c r="B123" s="2"/>
      <c r="C123" s="2"/>
      <c r="D123" s="2"/>
      <c r="E123" s="2"/>
      <c r="F123" s="3"/>
      <c r="G123" s="2"/>
      <c r="H123" s="2"/>
      <c r="I123" s="2"/>
      <c r="J123" s="2"/>
      <c r="K123" s="2"/>
      <c r="L123" s="2"/>
      <c r="M123" s="2"/>
      <c r="N123" s="296"/>
      <c r="O123" s="114"/>
      <c r="P123" s="114"/>
      <c r="Q123" s="114"/>
      <c r="R123" s="114"/>
      <c r="S123" s="2"/>
      <c r="T123" s="2"/>
      <c r="U123" s="310"/>
      <c r="V123" s="2"/>
      <c r="W123" s="2"/>
      <c r="X123" s="2"/>
      <c r="Y123" s="2"/>
      <c r="Z123" s="2"/>
      <c r="AA123" s="2"/>
      <c r="AB123" s="2"/>
      <c r="AC123" s="2"/>
      <c r="AD123" s="2"/>
      <c r="AE123" s="2"/>
      <c r="AF123" s="2"/>
    </row>
    <row r="124" spans="1:32" ht="18">
      <c r="A124" s="2"/>
      <c r="B124" s="2"/>
      <c r="C124" s="2"/>
      <c r="D124" s="2"/>
      <c r="E124" s="2"/>
      <c r="F124" s="3"/>
      <c r="G124" s="2"/>
      <c r="H124" s="2"/>
      <c r="I124" s="2"/>
      <c r="J124" s="2"/>
      <c r="K124" s="2"/>
      <c r="L124" s="2"/>
      <c r="M124" s="2"/>
      <c r="N124" s="296"/>
      <c r="O124" s="114"/>
      <c r="P124" s="114"/>
      <c r="Q124" s="114"/>
      <c r="R124" s="114"/>
      <c r="S124" s="2"/>
      <c r="T124" s="2"/>
      <c r="U124" s="310"/>
      <c r="V124" s="2"/>
      <c r="W124" s="2"/>
      <c r="X124" s="2"/>
      <c r="Y124" s="2"/>
      <c r="Z124" s="2"/>
      <c r="AA124" s="2"/>
      <c r="AB124" s="2"/>
      <c r="AC124" s="2"/>
      <c r="AD124" s="2"/>
      <c r="AE124" s="2"/>
      <c r="AF124" s="2"/>
    </row>
    <row r="125" spans="1:32" ht="18">
      <c r="A125" s="2"/>
      <c r="B125" s="2"/>
      <c r="C125" s="2"/>
      <c r="D125" s="2"/>
      <c r="E125" s="2"/>
      <c r="F125" s="3"/>
      <c r="G125" s="2"/>
      <c r="H125" s="2"/>
      <c r="I125" s="2"/>
      <c r="J125" s="2"/>
      <c r="K125" s="2"/>
      <c r="L125" s="2"/>
      <c r="M125" s="2"/>
      <c r="N125" s="296"/>
      <c r="O125" s="114"/>
      <c r="P125" s="114"/>
      <c r="Q125" s="114"/>
      <c r="R125" s="114"/>
      <c r="S125" s="2"/>
      <c r="T125" s="2"/>
      <c r="U125" s="310"/>
      <c r="V125" s="2"/>
      <c r="W125" s="2"/>
      <c r="X125" s="2"/>
      <c r="Y125" s="2"/>
      <c r="Z125" s="2"/>
      <c r="AA125" s="2"/>
      <c r="AB125" s="2"/>
      <c r="AC125" s="2"/>
      <c r="AD125" s="2"/>
      <c r="AE125" s="2"/>
      <c r="AF125" s="2"/>
    </row>
    <row r="126" spans="1:32" ht="18">
      <c r="A126" s="2"/>
      <c r="B126" s="2"/>
      <c r="C126" s="2"/>
      <c r="D126" s="2"/>
      <c r="E126" s="2"/>
      <c r="F126" s="3"/>
      <c r="G126" s="2"/>
      <c r="H126" s="2"/>
      <c r="I126" s="2"/>
      <c r="J126" s="2"/>
      <c r="K126" s="2"/>
      <c r="L126" s="2"/>
      <c r="M126" s="2"/>
      <c r="N126" s="296"/>
      <c r="O126" s="114"/>
      <c r="P126" s="114"/>
      <c r="Q126" s="114"/>
      <c r="R126" s="114"/>
      <c r="S126" s="2"/>
      <c r="T126" s="2"/>
      <c r="U126" s="310"/>
      <c r="V126" s="2"/>
      <c r="W126" s="2"/>
      <c r="X126" s="2"/>
      <c r="Y126" s="2"/>
      <c r="Z126" s="2"/>
      <c r="AA126" s="2"/>
      <c r="AB126" s="2"/>
      <c r="AC126" s="2"/>
      <c r="AD126" s="2"/>
      <c r="AE126" s="2"/>
      <c r="AF126" s="2"/>
    </row>
    <row r="127" spans="1:32" ht="18">
      <c r="A127" s="2"/>
      <c r="B127" s="2"/>
      <c r="C127" s="2"/>
      <c r="D127" s="2"/>
      <c r="E127" s="2"/>
      <c r="F127" s="3"/>
      <c r="G127" s="2"/>
      <c r="H127" s="2"/>
      <c r="I127" s="2"/>
      <c r="J127" s="2"/>
      <c r="K127" s="2"/>
      <c r="L127" s="2"/>
      <c r="M127" s="2"/>
      <c r="N127" s="296"/>
      <c r="O127" s="114"/>
      <c r="P127" s="114"/>
      <c r="Q127" s="114"/>
      <c r="R127" s="114"/>
      <c r="S127" s="2"/>
      <c r="T127" s="2"/>
      <c r="U127" s="310"/>
      <c r="V127" s="2"/>
      <c r="W127" s="2"/>
      <c r="X127" s="2"/>
      <c r="Y127" s="2"/>
      <c r="Z127" s="2"/>
      <c r="AA127" s="2"/>
      <c r="AB127" s="2"/>
      <c r="AC127" s="2"/>
      <c r="AD127" s="2"/>
      <c r="AE127" s="2"/>
      <c r="AF127" s="2"/>
    </row>
    <row r="128" spans="1:32" ht="18">
      <c r="A128" s="2"/>
      <c r="B128" s="2"/>
      <c r="C128" s="2"/>
      <c r="D128" s="2"/>
      <c r="E128" s="2"/>
      <c r="F128" s="3"/>
      <c r="G128" s="2"/>
      <c r="H128" s="2"/>
      <c r="I128" s="2"/>
      <c r="J128" s="2"/>
      <c r="K128" s="2"/>
      <c r="L128" s="2"/>
      <c r="M128" s="2"/>
      <c r="N128" s="296"/>
      <c r="O128" s="239"/>
      <c r="P128" s="239"/>
      <c r="Q128" s="114"/>
      <c r="R128" s="114"/>
      <c r="S128" s="2"/>
      <c r="T128" s="2"/>
      <c r="U128" s="310"/>
      <c r="V128" s="2"/>
      <c r="W128" s="2"/>
      <c r="X128" s="2"/>
      <c r="Y128" s="2"/>
      <c r="Z128" s="2"/>
      <c r="AA128" s="2"/>
      <c r="AB128" s="2"/>
      <c r="AC128" s="2"/>
      <c r="AD128" s="2"/>
      <c r="AE128" s="2"/>
      <c r="AF128" s="2"/>
    </row>
    <row r="129" spans="1:32" ht="18">
      <c r="A129" s="2"/>
      <c r="B129" s="2"/>
      <c r="C129" s="2"/>
      <c r="D129" s="2"/>
      <c r="E129" s="2"/>
      <c r="F129" s="3"/>
      <c r="G129" s="2"/>
      <c r="H129" s="2"/>
      <c r="I129" s="2"/>
      <c r="J129" s="2"/>
      <c r="K129" s="2"/>
      <c r="L129" s="2"/>
      <c r="M129" s="2"/>
      <c r="N129" s="296"/>
      <c r="O129" s="114"/>
      <c r="P129" s="114"/>
      <c r="Q129" s="114"/>
      <c r="R129" s="114"/>
      <c r="S129" s="2"/>
      <c r="T129" s="2"/>
      <c r="U129" s="310"/>
      <c r="V129" s="2"/>
      <c r="W129" s="2"/>
      <c r="X129" s="2"/>
      <c r="Y129" s="2"/>
      <c r="Z129" s="2"/>
      <c r="AA129" s="2"/>
      <c r="AB129" s="2"/>
      <c r="AC129" s="2"/>
      <c r="AD129" s="2"/>
      <c r="AE129" s="2"/>
      <c r="AF129" s="2"/>
    </row>
    <row r="130" spans="1:32" ht="18">
      <c r="A130" s="2"/>
      <c r="B130" s="2"/>
      <c r="C130" s="2"/>
      <c r="D130" s="2"/>
      <c r="E130" s="2"/>
      <c r="F130" s="3"/>
      <c r="G130" s="2"/>
      <c r="H130" s="2"/>
      <c r="I130" s="2"/>
      <c r="J130" s="2"/>
      <c r="K130" s="2"/>
      <c r="L130" s="2"/>
      <c r="M130" s="2"/>
      <c r="N130" s="296"/>
      <c r="O130" s="114"/>
      <c r="P130" s="114"/>
      <c r="Q130" s="114"/>
      <c r="R130" s="114"/>
      <c r="S130" s="2"/>
      <c r="T130" s="2"/>
      <c r="U130" s="310"/>
      <c r="V130" s="2"/>
      <c r="W130" s="2"/>
      <c r="X130" s="2"/>
      <c r="Y130" s="2"/>
      <c r="Z130" s="2"/>
      <c r="AA130" s="2"/>
      <c r="AB130" s="2"/>
      <c r="AC130" s="2"/>
      <c r="AD130" s="2"/>
      <c r="AE130" s="2"/>
      <c r="AF130" s="2"/>
    </row>
    <row r="131" spans="1:32" ht="18">
      <c r="A131" s="2"/>
      <c r="B131" s="2"/>
      <c r="C131" s="2"/>
      <c r="D131" s="2"/>
      <c r="E131" s="2"/>
      <c r="F131" s="3"/>
      <c r="G131" s="2"/>
      <c r="H131" s="2"/>
      <c r="I131" s="2"/>
      <c r="J131" s="2"/>
      <c r="K131" s="2"/>
      <c r="L131" s="2"/>
      <c r="M131" s="2"/>
      <c r="N131" s="296"/>
      <c r="O131" s="114"/>
      <c r="P131" s="114"/>
      <c r="Q131" s="114"/>
      <c r="R131" s="114"/>
      <c r="S131" s="2"/>
      <c r="T131" s="2"/>
      <c r="U131" s="310"/>
      <c r="V131" s="2"/>
      <c r="W131" s="2"/>
      <c r="X131" s="2"/>
      <c r="Y131" s="2"/>
      <c r="Z131" s="2"/>
      <c r="AA131" s="2"/>
      <c r="AB131" s="2"/>
      <c r="AC131" s="2"/>
      <c r="AD131" s="2"/>
      <c r="AE131" s="2"/>
      <c r="AF131" s="2"/>
    </row>
    <row r="132" spans="1:32" ht="18">
      <c r="A132" s="2"/>
      <c r="B132" s="2"/>
      <c r="C132" s="2"/>
      <c r="D132" s="2"/>
      <c r="E132" s="2"/>
      <c r="F132" s="3"/>
      <c r="G132" s="2"/>
      <c r="H132" s="2"/>
      <c r="I132" s="2"/>
      <c r="J132" s="2"/>
      <c r="K132" s="2"/>
      <c r="L132" s="2"/>
      <c r="M132" s="2"/>
      <c r="N132" s="296"/>
      <c r="O132" s="114"/>
      <c r="P132" s="239"/>
      <c r="Q132" s="114"/>
      <c r="R132" s="114"/>
      <c r="S132" s="2"/>
      <c r="T132" s="2"/>
      <c r="U132" s="310"/>
      <c r="V132" s="2"/>
      <c r="W132" s="2"/>
      <c r="X132" s="2"/>
      <c r="Y132" s="2"/>
      <c r="Z132" s="2"/>
      <c r="AA132" s="2"/>
      <c r="AB132" s="2"/>
      <c r="AC132" s="2"/>
      <c r="AD132" s="2"/>
      <c r="AE132" s="2"/>
      <c r="AF132" s="2"/>
    </row>
    <row r="133" spans="1:32" ht="18">
      <c r="A133" s="2"/>
      <c r="B133" s="2"/>
      <c r="C133" s="2"/>
      <c r="D133" s="2"/>
      <c r="E133" s="2"/>
      <c r="F133" s="3"/>
      <c r="G133" s="2"/>
      <c r="H133" s="2"/>
      <c r="I133" s="2"/>
      <c r="J133" s="2"/>
      <c r="K133" s="2"/>
      <c r="L133" s="2"/>
      <c r="M133" s="2"/>
      <c r="N133" s="296"/>
      <c r="O133" s="114"/>
      <c r="P133" s="114"/>
      <c r="Q133" s="114"/>
      <c r="R133" s="114"/>
      <c r="S133" s="2"/>
      <c r="T133" s="2"/>
      <c r="U133" s="310"/>
      <c r="V133" s="2"/>
      <c r="W133" s="2"/>
      <c r="X133" s="2"/>
      <c r="Y133" s="2"/>
      <c r="Z133" s="2"/>
      <c r="AA133" s="2"/>
      <c r="AB133" s="2"/>
      <c r="AC133" s="2"/>
      <c r="AD133" s="2"/>
      <c r="AE133" s="2"/>
      <c r="AF133" s="2"/>
    </row>
    <row r="134" spans="1:32" ht="18">
      <c r="A134" s="2"/>
      <c r="B134" s="2"/>
      <c r="C134" s="2"/>
      <c r="D134" s="2"/>
      <c r="E134" s="2"/>
      <c r="F134" s="3"/>
      <c r="G134" s="2"/>
      <c r="H134" s="2"/>
      <c r="I134" s="2"/>
      <c r="J134" s="2"/>
      <c r="K134" s="2"/>
      <c r="L134" s="2"/>
      <c r="M134" s="2"/>
      <c r="N134" s="296"/>
      <c r="O134" s="114"/>
      <c r="P134" s="114"/>
      <c r="Q134" s="114"/>
      <c r="R134" s="114"/>
      <c r="S134" s="2"/>
      <c r="T134" s="2"/>
      <c r="U134" s="310"/>
      <c r="V134" s="2"/>
      <c r="W134" s="2"/>
      <c r="X134" s="2"/>
      <c r="Y134" s="2"/>
      <c r="Z134" s="2"/>
      <c r="AA134" s="2"/>
      <c r="AB134" s="2"/>
      <c r="AC134" s="2"/>
      <c r="AD134" s="2"/>
      <c r="AE134" s="2"/>
      <c r="AF134" s="2"/>
    </row>
    <row r="135" spans="1:32" ht="18">
      <c r="A135" s="2"/>
      <c r="B135" s="2"/>
      <c r="C135" s="2"/>
      <c r="D135" s="2"/>
      <c r="E135" s="2"/>
      <c r="F135" s="3"/>
      <c r="G135" s="2"/>
      <c r="H135" s="2"/>
      <c r="I135" s="2"/>
      <c r="J135" s="2"/>
      <c r="K135" s="2"/>
      <c r="L135" s="2"/>
      <c r="M135" s="2"/>
      <c r="N135" s="296"/>
      <c r="O135" s="239"/>
      <c r="P135" s="239"/>
      <c r="Q135" s="114"/>
      <c r="R135" s="114"/>
      <c r="S135" s="2"/>
      <c r="T135" s="2"/>
      <c r="U135" s="310"/>
      <c r="V135" s="2"/>
      <c r="W135" s="2"/>
      <c r="X135" s="2"/>
      <c r="Y135" s="2"/>
      <c r="Z135" s="2"/>
      <c r="AA135" s="2"/>
      <c r="AB135" s="2"/>
      <c r="AC135" s="2"/>
      <c r="AD135" s="2"/>
      <c r="AE135" s="2"/>
      <c r="AF135" s="2"/>
    </row>
    <row r="136" spans="1:32" ht="18">
      <c r="A136" s="2"/>
      <c r="B136" s="2"/>
      <c r="C136" s="2"/>
      <c r="D136" s="2"/>
      <c r="E136" s="2"/>
      <c r="F136" s="3"/>
      <c r="G136" s="2"/>
      <c r="H136" s="2"/>
      <c r="I136" s="2"/>
      <c r="J136" s="2"/>
      <c r="K136" s="2"/>
      <c r="L136" s="2"/>
      <c r="M136" s="2"/>
      <c r="N136" s="296"/>
      <c r="O136" s="114"/>
      <c r="P136" s="114"/>
      <c r="Q136" s="114"/>
      <c r="R136" s="114"/>
      <c r="S136" s="2"/>
      <c r="T136" s="2"/>
      <c r="U136" s="310"/>
      <c r="V136" s="2"/>
      <c r="W136" s="2"/>
      <c r="X136" s="2"/>
      <c r="Y136" s="2"/>
      <c r="Z136" s="2"/>
      <c r="AA136" s="2"/>
      <c r="AB136" s="2"/>
      <c r="AC136" s="2"/>
      <c r="AD136" s="2"/>
      <c r="AE136" s="2"/>
      <c r="AF136" s="2"/>
    </row>
    <row r="137" spans="1:32" ht="18">
      <c r="A137" s="2"/>
      <c r="B137" s="2"/>
      <c r="C137" s="2"/>
      <c r="D137" s="2"/>
      <c r="E137" s="2"/>
      <c r="F137" s="3"/>
      <c r="G137" s="2"/>
      <c r="H137" s="2"/>
      <c r="I137" s="2"/>
      <c r="J137" s="2"/>
      <c r="K137" s="2"/>
      <c r="L137" s="2"/>
      <c r="M137" s="2"/>
      <c r="N137" s="296"/>
      <c r="O137" s="114"/>
      <c r="P137" s="114"/>
      <c r="Q137" s="114"/>
      <c r="R137" s="114"/>
      <c r="S137" s="2"/>
      <c r="T137" s="2"/>
      <c r="U137" s="310"/>
      <c r="V137" s="2"/>
      <c r="W137" s="2"/>
      <c r="X137" s="2"/>
      <c r="Y137" s="2"/>
      <c r="Z137" s="2"/>
      <c r="AA137" s="2"/>
      <c r="AB137" s="2"/>
      <c r="AC137" s="2"/>
      <c r="AD137" s="2"/>
      <c r="AE137" s="2"/>
      <c r="AF137" s="2"/>
    </row>
    <row r="138" spans="1:32" ht="18">
      <c r="A138" s="2"/>
      <c r="B138" s="2"/>
      <c r="C138" s="2"/>
      <c r="D138" s="2"/>
      <c r="E138" s="2"/>
      <c r="F138" s="3"/>
      <c r="G138" s="2"/>
      <c r="H138" s="2"/>
      <c r="I138" s="2"/>
      <c r="J138" s="2"/>
      <c r="K138" s="2"/>
      <c r="L138" s="2"/>
      <c r="M138" s="2"/>
      <c r="N138" s="296"/>
      <c r="O138" s="239"/>
      <c r="P138" s="239"/>
      <c r="Q138" s="114"/>
      <c r="R138" s="114"/>
      <c r="S138" s="2"/>
      <c r="T138" s="2"/>
      <c r="U138" s="310"/>
      <c r="V138" s="2"/>
      <c r="W138" s="2"/>
      <c r="X138" s="2"/>
      <c r="Y138" s="2"/>
      <c r="Z138" s="2"/>
      <c r="AA138" s="2"/>
      <c r="AB138" s="2"/>
      <c r="AC138" s="2"/>
      <c r="AD138" s="2"/>
      <c r="AE138" s="2"/>
      <c r="AF138" s="2"/>
    </row>
    <row r="139" spans="1:32" ht="18">
      <c r="A139" s="2"/>
      <c r="B139" s="2"/>
      <c r="C139" s="2"/>
      <c r="D139" s="2"/>
      <c r="E139" s="2"/>
      <c r="F139" s="3"/>
      <c r="G139" s="2"/>
      <c r="H139" s="2"/>
      <c r="I139" s="2"/>
      <c r="J139" s="2"/>
      <c r="K139" s="2"/>
      <c r="L139" s="2"/>
      <c r="M139" s="2"/>
      <c r="N139" s="296"/>
      <c r="O139" s="239"/>
      <c r="P139" s="239"/>
      <c r="Q139" s="239"/>
      <c r="R139" s="114"/>
      <c r="S139" s="2"/>
      <c r="T139" s="2"/>
      <c r="U139" s="310"/>
      <c r="V139" s="2"/>
      <c r="W139" s="2"/>
      <c r="X139" s="2"/>
      <c r="Y139" s="2"/>
      <c r="Z139" s="2"/>
      <c r="AA139" s="2"/>
      <c r="AB139" s="2"/>
      <c r="AC139" s="2"/>
      <c r="AD139" s="2"/>
      <c r="AE139" s="2"/>
      <c r="AF139" s="2"/>
    </row>
    <row r="140" spans="1:32" ht="18">
      <c r="A140" s="2"/>
      <c r="B140" s="2"/>
      <c r="C140" s="2"/>
      <c r="D140" s="2"/>
      <c r="E140" s="2"/>
      <c r="F140" s="3"/>
      <c r="G140" s="2"/>
      <c r="H140" s="2"/>
      <c r="I140" s="2"/>
      <c r="J140" s="2"/>
      <c r="K140" s="2"/>
      <c r="L140" s="2"/>
      <c r="M140" s="2"/>
      <c r="N140" s="296"/>
      <c r="O140" s="114"/>
      <c r="P140" s="239"/>
      <c r="Q140" s="114"/>
      <c r="R140" s="114"/>
      <c r="S140" s="2"/>
      <c r="T140" s="2"/>
      <c r="U140" s="310"/>
      <c r="V140" s="2"/>
      <c r="W140" s="2"/>
      <c r="X140" s="2"/>
      <c r="Y140" s="2"/>
      <c r="Z140" s="2"/>
      <c r="AA140" s="2"/>
      <c r="AB140" s="2"/>
      <c r="AC140" s="2"/>
      <c r="AD140" s="2"/>
      <c r="AE140" s="2"/>
      <c r="AF140" s="2"/>
    </row>
    <row r="141" spans="1:32" ht="18">
      <c r="A141" s="2"/>
      <c r="B141" s="2"/>
      <c r="C141" s="2"/>
      <c r="D141" s="2"/>
      <c r="E141" s="2"/>
      <c r="F141" s="3"/>
      <c r="G141" s="2"/>
      <c r="H141" s="2"/>
      <c r="I141" s="2"/>
      <c r="J141" s="2"/>
      <c r="K141" s="2"/>
      <c r="L141" s="2"/>
      <c r="M141" s="2"/>
      <c r="N141" s="296"/>
      <c r="O141" s="114"/>
      <c r="P141" s="239"/>
      <c r="Q141" s="239"/>
      <c r="R141" s="114"/>
      <c r="S141" s="2"/>
      <c r="T141" s="2"/>
      <c r="U141" s="310"/>
      <c r="V141" s="2"/>
      <c r="W141" s="2"/>
      <c r="X141" s="2"/>
      <c r="Y141" s="2"/>
      <c r="Z141" s="2"/>
      <c r="AA141" s="2"/>
      <c r="AB141" s="2"/>
      <c r="AC141" s="2"/>
      <c r="AD141" s="2"/>
      <c r="AE141" s="2"/>
      <c r="AF141" s="2"/>
    </row>
    <row r="142" spans="1:32" ht="18">
      <c r="A142" s="2"/>
      <c r="B142" s="2"/>
      <c r="C142" s="2"/>
      <c r="D142" s="2"/>
      <c r="E142" s="2"/>
      <c r="F142" s="3"/>
      <c r="G142" s="2"/>
      <c r="H142" s="2"/>
      <c r="I142" s="2"/>
      <c r="J142" s="2"/>
      <c r="K142" s="2"/>
      <c r="L142" s="2"/>
      <c r="M142" s="2"/>
      <c r="N142" s="296"/>
      <c r="O142" s="239"/>
      <c r="P142" s="239"/>
      <c r="Q142" s="239"/>
      <c r="R142" s="114"/>
      <c r="S142" s="2"/>
      <c r="T142" s="2"/>
      <c r="U142" s="310"/>
      <c r="V142" s="2"/>
      <c r="W142" s="2"/>
      <c r="X142" s="2"/>
      <c r="Y142" s="2"/>
      <c r="Z142" s="2"/>
      <c r="AA142" s="2"/>
      <c r="AB142" s="2"/>
      <c r="AC142" s="2"/>
      <c r="AD142" s="2"/>
      <c r="AE142" s="2"/>
      <c r="AF142" s="2"/>
    </row>
    <row r="143" spans="1:32" ht="18">
      <c r="A143" s="2"/>
      <c r="B143" s="2"/>
      <c r="C143" s="2"/>
      <c r="D143" s="2"/>
      <c r="E143" s="2"/>
      <c r="F143" s="3"/>
      <c r="G143" s="2"/>
      <c r="H143" s="2"/>
      <c r="I143" s="2"/>
      <c r="J143" s="2"/>
      <c r="K143" s="2"/>
      <c r="L143" s="2"/>
      <c r="M143" s="2"/>
      <c r="N143" s="296"/>
      <c r="O143" s="114"/>
      <c r="P143" s="114"/>
      <c r="Q143" s="114"/>
      <c r="R143" s="114"/>
      <c r="S143" s="2"/>
      <c r="T143" s="2"/>
      <c r="U143" s="310"/>
      <c r="V143" s="2"/>
      <c r="W143" s="2"/>
      <c r="X143" s="2"/>
      <c r="Y143" s="2"/>
      <c r="Z143" s="2"/>
      <c r="AA143" s="2"/>
      <c r="AB143" s="2"/>
      <c r="AC143" s="2"/>
      <c r="AD143" s="2"/>
      <c r="AE143" s="2"/>
      <c r="AF143" s="2"/>
    </row>
    <row r="144" spans="1:32" ht="18">
      <c r="A144" s="2"/>
      <c r="B144" s="2"/>
      <c r="C144" s="2"/>
      <c r="D144" s="2"/>
      <c r="E144" s="2"/>
      <c r="F144" s="3"/>
      <c r="G144" s="2"/>
      <c r="H144" s="2"/>
      <c r="I144" s="2"/>
      <c r="J144" s="2"/>
      <c r="K144" s="2"/>
      <c r="L144" s="2"/>
      <c r="M144" s="2"/>
      <c r="N144" s="296"/>
      <c r="O144" s="114"/>
      <c r="P144" s="114"/>
      <c r="Q144" s="114"/>
      <c r="R144" s="114"/>
      <c r="S144" s="2"/>
      <c r="T144" s="2"/>
      <c r="U144" s="310"/>
      <c r="V144" s="2"/>
      <c r="W144" s="2"/>
      <c r="X144" s="2"/>
      <c r="Y144" s="2"/>
      <c r="Z144" s="2"/>
      <c r="AA144" s="2"/>
      <c r="AB144" s="2"/>
      <c r="AC144" s="2"/>
      <c r="AD144" s="2"/>
      <c r="AE144" s="2"/>
      <c r="AF144" s="2"/>
    </row>
    <row r="145" spans="1:32" ht="18">
      <c r="A145" s="2"/>
      <c r="B145" s="2"/>
      <c r="C145" s="2"/>
      <c r="D145" s="2"/>
      <c r="E145" s="2"/>
      <c r="F145" s="3"/>
      <c r="G145" s="2"/>
      <c r="H145" s="2"/>
      <c r="I145" s="2"/>
      <c r="J145" s="2"/>
      <c r="K145" s="2"/>
      <c r="L145" s="2"/>
      <c r="M145" s="2"/>
      <c r="N145" s="296"/>
      <c r="O145" s="114"/>
      <c r="P145" s="239"/>
      <c r="Q145" s="239"/>
      <c r="R145" s="114"/>
      <c r="S145" s="2"/>
      <c r="T145" s="2"/>
      <c r="U145" s="310"/>
      <c r="V145" s="2"/>
      <c r="W145" s="2"/>
      <c r="X145" s="2"/>
      <c r="Y145" s="2"/>
      <c r="Z145" s="2"/>
      <c r="AA145" s="2"/>
      <c r="AB145" s="2"/>
      <c r="AC145" s="2"/>
      <c r="AD145" s="2"/>
      <c r="AE145" s="2"/>
      <c r="AF145" s="2"/>
    </row>
    <row r="146" spans="1:32" ht="18">
      <c r="A146" s="2"/>
      <c r="B146" s="2"/>
      <c r="C146" s="2"/>
      <c r="D146" s="2"/>
      <c r="E146" s="2"/>
      <c r="F146" s="3"/>
      <c r="G146" s="2"/>
      <c r="H146" s="2"/>
      <c r="I146" s="2"/>
      <c r="J146" s="2"/>
      <c r="K146" s="2"/>
      <c r="L146" s="2"/>
      <c r="M146" s="2"/>
      <c r="N146" s="296"/>
      <c r="O146" s="114"/>
      <c r="P146" s="239"/>
      <c r="Q146" s="239"/>
      <c r="R146" s="114"/>
      <c r="S146" s="2"/>
      <c r="T146" s="2"/>
      <c r="U146" s="310"/>
      <c r="V146" s="2"/>
      <c r="W146" s="2"/>
      <c r="X146" s="2"/>
      <c r="Y146" s="2"/>
      <c r="Z146" s="2"/>
      <c r="AA146" s="2"/>
      <c r="AB146" s="2"/>
      <c r="AC146" s="2"/>
      <c r="AD146" s="2"/>
      <c r="AE146" s="2"/>
      <c r="AF146" s="2"/>
    </row>
    <row r="147" spans="1:32" ht="18">
      <c r="A147" s="2"/>
      <c r="B147" s="2"/>
      <c r="C147" s="2"/>
      <c r="D147" s="2"/>
      <c r="E147" s="2"/>
      <c r="F147" s="3"/>
      <c r="G147" s="2"/>
      <c r="H147" s="2"/>
      <c r="I147" s="2"/>
      <c r="J147" s="2"/>
      <c r="K147" s="2"/>
      <c r="L147" s="2"/>
      <c r="M147" s="2"/>
      <c r="N147" s="296"/>
      <c r="O147" s="114"/>
      <c r="P147" s="239"/>
      <c r="Q147" s="239"/>
      <c r="R147" s="114"/>
      <c r="S147" s="2"/>
      <c r="T147" s="2"/>
      <c r="U147" s="310"/>
      <c r="V147" s="2"/>
      <c r="W147" s="2"/>
      <c r="X147" s="2"/>
      <c r="Y147" s="2"/>
      <c r="Z147" s="2"/>
      <c r="AA147" s="2"/>
      <c r="AB147" s="2"/>
      <c r="AC147" s="2"/>
      <c r="AD147" s="2"/>
      <c r="AE147" s="2"/>
      <c r="AF147" s="2"/>
    </row>
    <row r="148" spans="1:32" ht="18">
      <c r="A148" s="2"/>
      <c r="B148" s="2"/>
      <c r="C148" s="2"/>
      <c r="D148" s="2"/>
      <c r="E148" s="2"/>
      <c r="F148" s="3"/>
      <c r="G148" s="2"/>
      <c r="H148" s="2"/>
      <c r="I148" s="2"/>
      <c r="J148" s="2"/>
      <c r="K148" s="2"/>
      <c r="L148" s="2"/>
      <c r="M148" s="2"/>
      <c r="N148" s="296"/>
      <c r="O148" s="114"/>
      <c r="P148" s="114"/>
      <c r="Q148" s="239"/>
      <c r="R148" s="114"/>
      <c r="S148" s="2"/>
      <c r="T148" s="2"/>
      <c r="U148" s="310"/>
      <c r="V148" s="2"/>
      <c r="W148" s="2"/>
      <c r="X148" s="2"/>
      <c r="Y148" s="2"/>
      <c r="Z148" s="2"/>
      <c r="AA148" s="2"/>
      <c r="AB148" s="2"/>
      <c r="AC148" s="2"/>
      <c r="AD148" s="2"/>
      <c r="AE148" s="2"/>
      <c r="AF148" s="2"/>
    </row>
    <row r="149" spans="1:32" ht="18">
      <c r="A149" s="2"/>
      <c r="B149" s="2"/>
      <c r="C149" s="2"/>
      <c r="D149" s="2"/>
      <c r="E149" s="2"/>
      <c r="F149" s="3"/>
      <c r="G149" s="2"/>
      <c r="H149" s="2"/>
      <c r="I149" s="2"/>
      <c r="J149" s="2"/>
      <c r="K149" s="2"/>
      <c r="L149" s="2"/>
      <c r="M149" s="2"/>
      <c r="N149" s="296"/>
      <c r="O149" s="239"/>
      <c r="P149" s="239"/>
      <c r="Q149" s="239"/>
      <c r="R149" s="114"/>
      <c r="S149" s="2"/>
      <c r="T149" s="2"/>
      <c r="U149" s="310"/>
      <c r="V149" s="2"/>
      <c r="W149" s="2"/>
      <c r="X149" s="2"/>
      <c r="Y149" s="2"/>
      <c r="Z149" s="2"/>
      <c r="AA149" s="2"/>
      <c r="AB149" s="2"/>
      <c r="AC149" s="2"/>
      <c r="AD149" s="2"/>
      <c r="AE149" s="2"/>
      <c r="AF149" s="2"/>
    </row>
    <row r="150" spans="1:32" ht="18">
      <c r="A150" s="2"/>
      <c r="B150" s="2"/>
      <c r="C150" s="2"/>
      <c r="D150" s="2"/>
      <c r="E150" s="2"/>
      <c r="F150" s="3"/>
      <c r="G150" s="2"/>
      <c r="H150" s="2"/>
      <c r="I150" s="2"/>
      <c r="J150" s="2"/>
      <c r="K150" s="2"/>
      <c r="L150" s="2"/>
      <c r="M150" s="2"/>
      <c r="N150" s="296"/>
      <c r="O150" s="114"/>
      <c r="P150" s="114"/>
      <c r="Q150" s="114"/>
      <c r="R150" s="114"/>
      <c r="S150" s="2"/>
      <c r="T150" s="2"/>
      <c r="U150" s="310"/>
      <c r="V150" s="2"/>
      <c r="W150" s="2"/>
      <c r="X150" s="2"/>
      <c r="Y150" s="2"/>
      <c r="Z150" s="2"/>
      <c r="AA150" s="2"/>
      <c r="AB150" s="2"/>
      <c r="AC150" s="2"/>
      <c r="AD150" s="2"/>
      <c r="AE150" s="2"/>
      <c r="AF150" s="2"/>
    </row>
    <row r="151" spans="1:32" ht="18">
      <c r="A151" s="2"/>
      <c r="B151" s="2"/>
      <c r="C151" s="2"/>
      <c r="D151" s="2"/>
      <c r="E151" s="2"/>
      <c r="F151" s="3"/>
      <c r="G151" s="2"/>
      <c r="H151" s="2"/>
      <c r="I151" s="2"/>
      <c r="J151" s="2"/>
      <c r="K151" s="2"/>
      <c r="L151" s="2"/>
      <c r="M151" s="2"/>
      <c r="N151" s="296"/>
      <c r="O151" s="114"/>
      <c r="P151" s="114"/>
      <c r="Q151" s="114"/>
      <c r="R151" s="114"/>
      <c r="S151" s="2"/>
      <c r="T151" s="2"/>
      <c r="U151" s="310"/>
      <c r="V151" s="2"/>
      <c r="W151" s="2"/>
      <c r="X151" s="2"/>
      <c r="Y151" s="2"/>
      <c r="Z151" s="2"/>
      <c r="AA151" s="2"/>
      <c r="AB151" s="2"/>
      <c r="AC151" s="2"/>
      <c r="AD151" s="2"/>
      <c r="AE151" s="2"/>
      <c r="AF151" s="2"/>
    </row>
    <row r="152" spans="1:32" ht="18">
      <c r="A152" s="2"/>
      <c r="B152" s="2"/>
      <c r="C152" s="2"/>
      <c r="D152" s="2"/>
      <c r="E152" s="2"/>
      <c r="F152" s="3"/>
      <c r="G152" s="2"/>
      <c r="H152" s="2"/>
      <c r="I152" s="2"/>
      <c r="J152" s="2"/>
      <c r="K152" s="2"/>
      <c r="L152" s="2"/>
      <c r="M152" s="2"/>
      <c r="N152" s="296"/>
      <c r="O152" s="114"/>
      <c r="P152" s="114"/>
      <c r="Q152" s="114"/>
      <c r="R152" s="114"/>
      <c r="S152" s="2"/>
      <c r="T152" s="2"/>
      <c r="U152" s="310"/>
      <c r="V152" s="2"/>
      <c r="W152" s="2"/>
      <c r="X152" s="2"/>
      <c r="Y152" s="2"/>
      <c r="Z152" s="2"/>
      <c r="AA152" s="2"/>
      <c r="AB152" s="2"/>
      <c r="AC152" s="2"/>
      <c r="AD152" s="2"/>
      <c r="AE152" s="2"/>
      <c r="AF152" s="2"/>
    </row>
    <row r="153" spans="1:32" ht="18">
      <c r="A153" s="2"/>
      <c r="B153" s="2"/>
      <c r="C153" s="2"/>
      <c r="D153" s="2"/>
      <c r="E153" s="2"/>
      <c r="F153" s="3"/>
      <c r="G153" s="2"/>
      <c r="H153" s="2"/>
      <c r="I153" s="2"/>
      <c r="J153" s="2"/>
      <c r="K153" s="2"/>
      <c r="L153" s="2"/>
      <c r="M153" s="2"/>
      <c r="N153" s="296"/>
      <c r="O153" s="114"/>
      <c r="P153" s="114"/>
      <c r="Q153" s="114"/>
      <c r="R153" s="114"/>
      <c r="S153" s="2"/>
      <c r="T153" s="2"/>
      <c r="U153" s="310"/>
      <c r="V153" s="2"/>
      <c r="W153" s="2"/>
      <c r="X153" s="2"/>
      <c r="Y153" s="2"/>
      <c r="Z153" s="2"/>
      <c r="AA153" s="2"/>
      <c r="AB153" s="2"/>
      <c r="AC153" s="2"/>
      <c r="AD153" s="2"/>
      <c r="AE153" s="2"/>
      <c r="AF153" s="2"/>
    </row>
    <row r="154" spans="1:32" ht="18">
      <c r="A154" s="2"/>
      <c r="B154" s="2"/>
      <c r="C154" s="2"/>
      <c r="D154" s="2"/>
      <c r="E154" s="2"/>
      <c r="F154" s="3"/>
      <c r="G154" s="2"/>
      <c r="H154" s="2"/>
      <c r="I154" s="2"/>
      <c r="J154" s="2"/>
      <c r="K154" s="2"/>
      <c r="L154" s="2"/>
      <c r="M154" s="2"/>
      <c r="N154" s="296"/>
      <c r="O154" s="114"/>
      <c r="P154" s="114"/>
      <c r="Q154" s="114"/>
      <c r="R154" s="114"/>
      <c r="S154" s="2"/>
      <c r="T154" s="2"/>
      <c r="U154" s="310"/>
      <c r="V154" s="2"/>
      <c r="W154" s="2"/>
      <c r="X154" s="2"/>
      <c r="Y154" s="2"/>
      <c r="Z154" s="2"/>
      <c r="AA154" s="2"/>
      <c r="AB154" s="2"/>
      <c r="AC154" s="2"/>
      <c r="AD154" s="2"/>
      <c r="AE154" s="2"/>
      <c r="AF154" s="2"/>
    </row>
    <row r="155" spans="1:32" ht="18">
      <c r="A155" s="2"/>
      <c r="B155" s="2"/>
      <c r="C155" s="2"/>
      <c r="D155" s="2"/>
      <c r="E155" s="2"/>
      <c r="F155" s="3"/>
      <c r="G155" s="2"/>
      <c r="H155" s="2"/>
      <c r="I155" s="2"/>
      <c r="J155" s="2"/>
      <c r="K155" s="2"/>
      <c r="L155" s="2"/>
      <c r="M155" s="2"/>
      <c r="N155" s="296"/>
      <c r="O155" s="114"/>
      <c r="P155" s="114"/>
      <c r="Q155" s="114"/>
      <c r="R155" s="114"/>
      <c r="S155" s="2"/>
      <c r="T155" s="2"/>
      <c r="U155" s="310"/>
      <c r="V155" s="2"/>
      <c r="W155" s="2"/>
      <c r="X155" s="2"/>
      <c r="Y155" s="2"/>
      <c r="Z155" s="2"/>
      <c r="AA155" s="2"/>
      <c r="AB155" s="2"/>
      <c r="AC155" s="2"/>
      <c r="AD155" s="2"/>
      <c r="AE155" s="2"/>
      <c r="AF155" s="2"/>
    </row>
    <row r="156" spans="1:32" ht="18">
      <c r="A156" s="2"/>
      <c r="B156" s="2"/>
      <c r="C156" s="2"/>
      <c r="D156" s="2"/>
      <c r="E156" s="2"/>
      <c r="F156" s="3"/>
      <c r="G156" s="2"/>
      <c r="H156" s="2"/>
      <c r="I156" s="2"/>
      <c r="J156" s="2"/>
      <c r="K156" s="2"/>
      <c r="L156" s="2"/>
      <c r="M156" s="2"/>
      <c r="N156" s="296"/>
      <c r="O156" s="239"/>
      <c r="P156" s="239"/>
      <c r="Q156" s="114"/>
      <c r="R156" s="114"/>
      <c r="S156" s="2"/>
      <c r="T156" s="2"/>
      <c r="U156" s="310"/>
      <c r="V156" s="2"/>
      <c r="W156" s="2"/>
      <c r="X156" s="2"/>
      <c r="Y156" s="2"/>
      <c r="Z156" s="2"/>
      <c r="AA156" s="2"/>
      <c r="AB156" s="2"/>
      <c r="AC156" s="2"/>
      <c r="AD156" s="2"/>
      <c r="AE156" s="2"/>
      <c r="AF156" s="2"/>
    </row>
    <row r="157" spans="1:32" ht="18">
      <c r="A157" s="2"/>
      <c r="B157" s="2"/>
      <c r="C157" s="2"/>
      <c r="D157" s="2"/>
      <c r="E157" s="2"/>
      <c r="F157" s="3"/>
      <c r="G157" s="2"/>
      <c r="H157" s="2"/>
      <c r="I157" s="2"/>
      <c r="J157" s="2"/>
      <c r="K157" s="2"/>
      <c r="L157" s="2"/>
      <c r="M157" s="2"/>
      <c r="N157" s="296"/>
      <c r="O157" s="114"/>
      <c r="P157" s="114"/>
      <c r="Q157" s="114"/>
      <c r="R157" s="114"/>
      <c r="S157" s="2"/>
      <c r="T157" s="2"/>
      <c r="U157" s="310"/>
      <c r="V157" s="2"/>
      <c r="W157" s="2"/>
      <c r="X157" s="2"/>
      <c r="Y157" s="2"/>
      <c r="Z157" s="2"/>
      <c r="AA157" s="2"/>
      <c r="AB157" s="2"/>
      <c r="AC157" s="2"/>
      <c r="AD157" s="2"/>
      <c r="AE157" s="2"/>
      <c r="AF157" s="2"/>
    </row>
    <row r="158" spans="1:32" ht="18">
      <c r="A158" s="2"/>
      <c r="B158" s="2"/>
      <c r="C158" s="2"/>
      <c r="D158" s="2"/>
      <c r="E158" s="2"/>
      <c r="F158" s="3"/>
      <c r="G158" s="2"/>
      <c r="H158" s="2"/>
      <c r="I158" s="2"/>
      <c r="J158" s="2"/>
      <c r="K158" s="2"/>
      <c r="L158" s="2"/>
      <c r="M158" s="2"/>
      <c r="N158" s="296"/>
      <c r="O158" s="114"/>
      <c r="P158" s="114"/>
      <c r="Q158" s="114"/>
      <c r="R158" s="114"/>
      <c r="S158" s="2"/>
      <c r="T158" s="2"/>
      <c r="U158" s="310"/>
      <c r="V158" s="2"/>
      <c r="W158" s="2"/>
      <c r="X158" s="2"/>
      <c r="Y158" s="2"/>
      <c r="Z158" s="2"/>
      <c r="AA158" s="2"/>
      <c r="AB158" s="2"/>
      <c r="AC158" s="2"/>
      <c r="AD158" s="2"/>
      <c r="AE158" s="2"/>
      <c r="AF158" s="2"/>
    </row>
    <row r="159" spans="1:32" ht="18">
      <c r="A159" s="2"/>
      <c r="B159" s="2"/>
      <c r="C159" s="2"/>
      <c r="D159" s="2"/>
      <c r="E159" s="2"/>
      <c r="F159" s="3"/>
      <c r="G159" s="2"/>
      <c r="H159" s="2"/>
      <c r="I159" s="2"/>
      <c r="J159" s="2"/>
      <c r="K159" s="2"/>
      <c r="L159" s="2"/>
      <c r="M159" s="2"/>
      <c r="N159" s="296"/>
      <c r="O159" s="114"/>
      <c r="P159" s="114"/>
      <c r="Q159" s="114"/>
      <c r="R159" s="114"/>
      <c r="S159" s="2"/>
      <c r="T159" s="2"/>
      <c r="U159" s="310"/>
      <c r="V159" s="2"/>
      <c r="W159" s="2"/>
      <c r="X159" s="2"/>
      <c r="Y159" s="2"/>
      <c r="Z159" s="2"/>
      <c r="AA159" s="2"/>
      <c r="AB159" s="2"/>
      <c r="AC159" s="2"/>
      <c r="AD159" s="2"/>
      <c r="AE159" s="2"/>
      <c r="AF159" s="2"/>
    </row>
    <row r="160" spans="1:32" ht="18">
      <c r="A160" s="2"/>
      <c r="B160" s="2"/>
      <c r="C160" s="2"/>
      <c r="D160" s="2"/>
      <c r="E160" s="2"/>
      <c r="F160" s="3"/>
      <c r="G160" s="2"/>
      <c r="H160" s="2"/>
      <c r="I160" s="2"/>
      <c r="J160" s="2"/>
      <c r="K160" s="2"/>
      <c r="L160" s="2"/>
      <c r="M160" s="2"/>
      <c r="N160" s="296"/>
      <c r="O160" s="114"/>
      <c r="P160" s="239"/>
      <c r="Q160" s="114"/>
      <c r="R160" s="114"/>
      <c r="S160" s="2"/>
      <c r="T160" s="2"/>
      <c r="U160" s="310"/>
      <c r="V160" s="2"/>
      <c r="W160" s="2"/>
      <c r="X160" s="2"/>
      <c r="Y160" s="2"/>
      <c r="Z160" s="2"/>
      <c r="AA160" s="2"/>
      <c r="AB160" s="2"/>
      <c r="AC160" s="2"/>
      <c r="AD160" s="2"/>
      <c r="AE160" s="2"/>
      <c r="AF160" s="2"/>
    </row>
    <row r="161" spans="1:32" ht="18">
      <c r="A161" s="2"/>
      <c r="B161" s="2"/>
      <c r="C161" s="2"/>
      <c r="D161" s="2"/>
      <c r="E161" s="2"/>
      <c r="F161" s="3"/>
      <c r="G161" s="2"/>
      <c r="H161" s="2"/>
      <c r="I161" s="2"/>
      <c r="J161" s="2"/>
      <c r="K161" s="2"/>
      <c r="L161" s="2"/>
      <c r="M161" s="2"/>
      <c r="N161" s="296"/>
      <c r="O161" s="114"/>
      <c r="P161" s="114"/>
      <c r="Q161" s="114"/>
      <c r="R161" s="114"/>
      <c r="S161" s="2"/>
      <c r="T161" s="2"/>
      <c r="U161" s="310"/>
      <c r="V161" s="2"/>
      <c r="W161" s="2"/>
      <c r="X161" s="2"/>
      <c r="Y161" s="2"/>
      <c r="Z161" s="2"/>
      <c r="AA161" s="2"/>
      <c r="AB161" s="2"/>
      <c r="AC161" s="2"/>
      <c r="AD161" s="2"/>
      <c r="AE161" s="2"/>
      <c r="AF161" s="2"/>
    </row>
    <row r="162" spans="1:32" ht="18">
      <c r="A162" s="2"/>
      <c r="B162" s="2"/>
      <c r="C162" s="2"/>
      <c r="D162" s="2"/>
      <c r="E162" s="2"/>
      <c r="F162" s="3"/>
      <c r="G162" s="2"/>
      <c r="H162" s="2"/>
      <c r="I162" s="2"/>
      <c r="J162" s="2"/>
      <c r="K162" s="2"/>
      <c r="L162" s="2"/>
      <c r="M162" s="2"/>
      <c r="N162" s="296"/>
      <c r="O162" s="114"/>
      <c r="P162" s="114"/>
      <c r="Q162" s="114"/>
      <c r="R162" s="114"/>
      <c r="S162" s="2"/>
      <c r="T162" s="2"/>
      <c r="U162" s="310"/>
      <c r="V162" s="2"/>
      <c r="W162" s="2"/>
      <c r="X162" s="2"/>
      <c r="Y162" s="2"/>
      <c r="Z162" s="2"/>
      <c r="AA162" s="2"/>
      <c r="AB162" s="2"/>
      <c r="AC162" s="2"/>
      <c r="AD162" s="2"/>
      <c r="AE162" s="2"/>
      <c r="AF162" s="2"/>
    </row>
    <row r="163" spans="1:32" ht="18">
      <c r="A163" s="2"/>
      <c r="B163" s="2"/>
      <c r="C163" s="2"/>
      <c r="D163" s="2"/>
      <c r="E163" s="2"/>
      <c r="F163" s="3"/>
      <c r="G163" s="2"/>
      <c r="H163" s="2"/>
      <c r="I163" s="2"/>
      <c r="J163" s="2"/>
      <c r="K163" s="2"/>
      <c r="L163" s="2"/>
      <c r="M163" s="2"/>
      <c r="N163" s="296"/>
      <c r="O163" s="239"/>
      <c r="P163" s="239"/>
      <c r="Q163" s="114"/>
      <c r="R163" s="114"/>
      <c r="S163" s="2"/>
      <c r="T163" s="2"/>
      <c r="U163" s="310"/>
      <c r="V163" s="2"/>
      <c r="W163" s="2"/>
      <c r="X163" s="2"/>
      <c r="Y163" s="2"/>
      <c r="Z163" s="2"/>
      <c r="AA163" s="2"/>
      <c r="AB163" s="2"/>
      <c r="AC163" s="2"/>
      <c r="AD163" s="2"/>
      <c r="AE163" s="2"/>
      <c r="AF163" s="2"/>
    </row>
    <row r="164" spans="1:32" ht="18">
      <c r="A164" s="2"/>
      <c r="B164" s="2"/>
      <c r="C164" s="2"/>
      <c r="D164" s="2"/>
      <c r="E164" s="2"/>
      <c r="F164" s="3"/>
      <c r="G164" s="2"/>
      <c r="H164" s="2"/>
      <c r="I164" s="2"/>
      <c r="J164" s="2"/>
      <c r="K164" s="2"/>
      <c r="L164" s="2"/>
      <c r="M164" s="2"/>
      <c r="N164" s="296"/>
      <c r="O164" s="114"/>
      <c r="P164" s="114"/>
      <c r="Q164" s="114"/>
      <c r="R164" s="114"/>
      <c r="S164" s="2"/>
      <c r="T164" s="2"/>
      <c r="U164" s="310"/>
      <c r="V164" s="2"/>
      <c r="W164" s="2"/>
      <c r="X164" s="2"/>
      <c r="Y164" s="2"/>
      <c r="Z164" s="2"/>
      <c r="AA164" s="2"/>
      <c r="AB164" s="2"/>
      <c r="AC164" s="2"/>
      <c r="AD164" s="2"/>
      <c r="AE164" s="2"/>
      <c r="AF164" s="2"/>
    </row>
    <row r="165" spans="1:32">
      <c r="A165" s="2"/>
      <c r="B165" s="2"/>
      <c r="C165" s="2"/>
      <c r="D165" s="2"/>
      <c r="E165" s="2"/>
      <c r="F165" s="3"/>
      <c r="G165" s="2"/>
      <c r="H165" s="2"/>
      <c r="I165" s="2"/>
      <c r="J165" s="2"/>
      <c r="K165" s="2"/>
      <c r="L165" s="2"/>
      <c r="M165" s="2"/>
      <c r="N165" s="3"/>
      <c r="O165" s="114"/>
      <c r="P165" s="114"/>
      <c r="Q165" s="114"/>
      <c r="R165" s="114"/>
      <c r="S165" s="2"/>
      <c r="T165" s="2"/>
      <c r="U165" s="310"/>
      <c r="V165" s="2"/>
      <c r="W165" s="2"/>
      <c r="X165" s="2"/>
      <c r="Y165" s="2"/>
      <c r="Z165" s="2"/>
      <c r="AA165" s="2"/>
      <c r="AB165" s="2"/>
      <c r="AC165" s="2"/>
      <c r="AD165" s="2"/>
      <c r="AE165" s="2"/>
      <c r="AF165" s="2"/>
    </row>
    <row r="166" spans="1:32">
      <c r="A166" s="2"/>
      <c r="B166" s="2"/>
      <c r="C166" s="2"/>
      <c r="D166" s="2"/>
      <c r="E166" s="2"/>
      <c r="F166" s="3"/>
      <c r="G166" s="2"/>
      <c r="H166" s="2"/>
      <c r="I166" s="2"/>
      <c r="J166" s="2"/>
      <c r="K166" s="2"/>
      <c r="L166" s="2"/>
      <c r="M166" s="2"/>
      <c r="N166" s="3"/>
      <c r="O166" s="239"/>
      <c r="P166" s="239"/>
      <c r="Q166" s="114"/>
      <c r="R166" s="114"/>
      <c r="S166" s="2"/>
      <c r="T166" s="2"/>
      <c r="U166" s="310"/>
      <c r="V166" s="2"/>
      <c r="W166" s="2"/>
      <c r="X166" s="2"/>
      <c r="Y166" s="2"/>
      <c r="Z166" s="2"/>
      <c r="AA166" s="2"/>
      <c r="AB166" s="2"/>
      <c r="AC166" s="2"/>
      <c r="AD166" s="2"/>
      <c r="AE166" s="2"/>
      <c r="AF166" s="2"/>
    </row>
    <row r="167" spans="1:32">
      <c r="A167" s="2"/>
      <c r="B167" s="2"/>
      <c r="C167" s="2"/>
      <c r="D167" s="2"/>
      <c r="E167" s="2"/>
      <c r="F167" s="3"/>
      <c r="G167" s="2"/>
      <c r="H167" s="2"/>
      <c r="I167" s="2"/>
      <c r="J167" s="2"/>
      <c r="K167" s="2"/>
      <c r="L167" s="2"/>
      <c r="M167" s="2"/>
      <c r="N167" s="3"/>
      <c r="O167" s="239"/>
      <c r="P167" s="239"/>
      <c r="Q167" s="239"/>
      <c r="R167" s="114"/>
      <c r="S167" s="2"/>
      <c r="T167" s="2"/>
      <c r="U167" s="310"/>
      <c r="V167" s="2"/>
      <c r="W167" s="2"/>
      <c r="X167" s="2"/>
      <c r="Y167" s="2"/>
      <c r="Z167" s="2"/>
      <c r="AA167" s="2"/>
      <c r="AB167" s="2"/>
      <c r="AC167" s="2"/>
      <c r="AD167" s="2"/>
      <c r="AE167" s="2"/>
      <c r="AF167" s="2"/>
    </row>
    <row r="168" spans="1:32">
      <c r="A168" s="2"/>
      <c r="B168" s="2"/>
      <c r="C168" s="2"/>
      <c r="D168" s="2"/>
      <c r="E168" s="2"/>
      <c r="F168" s="3"/>
      <c r="G168" s="2"/>
      <c r="H168" s="2"/>
      <c r="I168" s="2"/>
      <c r="J168" s="2"/>
      <c r="K168" s="2"/>
      <c r="L168" s="2"/>
      <c r="M168" s="2"/>
      <c r="N168" s="3"/>
      <c r="O168" s="114"/>
      <c r="P168" s="239"/>
      <c r="Q168" s="114"/>
      <c r="R168" s="114"/>
      <c r="S168" s="2"/>
      <c r="T168" s="2"/>
      <c r="U168" s="310"/>
      <c r="V168" s="2"/>
      <c r="W168" s="2"/>
      <c r="X168" s="2"/>
      <c r="Y168" s="2"/>
      <c r="Z168" s="2"/>
      <c r="AA168" s="2"/>
      <c r="AB168" s="2"/>
      <c r="AC168" s="2"/>
      <c r="AD168" s="2"/>
      <c r="AE168" s="2"/>
      <c r="AF168" s="2"/>
    </row>
    <row r="169" spans="1:32">
      <c r="A169" s="2"/>
      <c r="B169" s="2"/>
      <c r="C169" s="2"/>
      <c r="D169" s="2"/>
      <c r="E169" s="2"/>
      <c r="F169" s="3"/>
      <c r="G169" s="2"/>
      <c r="H169" s="2"/>
      <c r="I169" s="2"/>
      <c r="J169" s="2"/>
      <c r="K169" s="2"/>
      <c r="L169" s="2"/>
      <c r="M169" s="2"/>
      <c r="N169" s="3"/>
      <c r="O169" s="114"/>
      <c r="P169" s="239"/>
      <c r="Q169" s="239"/>
      <c r="R169" s="114"/>
      <c r="S169" s="2"/>
      <c r="T169" s="2"/>
      <c r="U169" s="310"/>
      <c r="V169" s="2"/>
      <c r="W169" s="2"/>
      <c r="X169" s="2"/>
      <c r="Y169" s="2"/>
      <c r="Z169" s="2"/>
      <c r="AA169" s="2"/>
      <c r="AB169" s="2"/>
      <c r="AC169" s="2"/>
      <c r="AD169" s="2"/>
      <c r="AE169" s="2"/>
      <c r="AF169" s="2"/>
    </row>
    <row r="170" spans="1:32">
      <c r="A170" s="2"/>
      <c r="B170" s="2"/>
      <c r="C170" s="2"/>
      <c r="D170" s="2"/>
      <c r="E170" s="2"/>
      <c r="F170" s="3"/>
      <c r="G170" s="2"/>
      <c r="H170" s="2"/>
      <c r="I170" s="2"/>
      <c r="J170" s="2"/>
      <c r="K170" s="2"/>
      <c r="L170" s="2"/>
      <c r="M170" s="2"/>
      <c r="N170" s="3"/>
      <c r="O170" s="239"/>
      <c r="P170" s="239"/>
      <c r="Q170" s="239"/>
      <c r="R170" s="114"/>
      <c r="S170" s="2"/>
      <c r="T170" s="2"/>
      <c r="U170" s="310"/>
      <c r="V170" s="2"/>
      <c r="W170" s="2"/>
      <c r="X170" s="2"/>
      <c r="Y170" s="2"/>
      <c r="Z170" s="2"/>
      <c r="AA170" s="2"/>
      <c r="AB170" s="2"/>
      <c r="AC170" s="2"/>
      <c r="AD170" s="2"/>
      <c r="AE170" s="2"/>
      <c r="AF170" s="2"/>
    </row>
    <row r="171" spans="1:32">
      <c r="A171" s="2"/>
      <c r="B171" s="2"/>
      <c r="C171" s="2"/>
      <c r="D171" s="2"/>
      <c r="E171" s="2"/>
      <c r="F171" s="3"/>
      <c r="G171" s="2"/>
      <c r="H171" s="2"/>
      <c r="I171" s="2"/>
      <c r="J171" s="2"/>
      <c r="K171" s="2"/>
      <c r="L171" s="2"/>
      <c r="M171" s="2"/>
      <c r="N171" s="3"/>
      <c r="O171" s="114"/>
      <c r="P171" s="114"/>
      <c r="Q171" s="114"/>
      <c r="R171" s="114"/>
      <c r="S171" s="2"/>
      <c r="T171" s="2"/>
      <c r="U171" s="310"/>
      <c r="V171" s="2"/>
      <c r="W171" s="2"/>
      <c r="X171" s="2"/>
      <c r="Y171" s="2"/>
      <c r="Z171" s="2"/>
      <c r="AA171" s="2"/>
      <c r="AB171" s="2"/>
      <c r="AC171" s="2"/>
      <c r="AD171" s="2"/>
      <c r="AE171" s="2"/>
      <c r="AF171" s="2"/>
    </row>
    <row r="172" spans="1:32" ht="18">
      <c r="A172" s="2"/>
      <c r="B172" s="2"/>
      <c r="C172" s="2"/>
      <c r="D172" s="2"/>
      <c r="E172" s="2"/>
      <c r="F172" s="3"/>
      <c r="G172" s="2"/>
      <c r="H172" s="2"/>
      <c r="I172" s="2"/>
      <c r="J172" s="2"/>
      <c r="K172" s="2"/>
      <c r="L172" s="2"/>
      <c r="M172" s="2"/>
      <c r="N172" s="296"/>
      <c r="O172" s="114"/>
      <c r="P172" s="114"/>
      <c r="Q172" s="114"/>
      <c r="R172" s="114"/>
      <c r="S172" s="2"/>
      <c r="T172" s="2"/>
      <c r="U172" s="310"/>
      <c r="V172" s="2"/>
      <c r="W172" s="2"/>
      <c r="X172" s="2"/>
      <c r="Y172" s="2"/>
      <c r="Z172" s="2"/>
      <c r="AA172" s="2"/>
      <c r="AB172" s="2"/>
      <c r="AC172" s="2"/>
      <c r="AD172" s="2"/>
      <c r="AE172" s="2"/>
      <c r="AF172" s="2"/>
    </row>
    <row r="173" spans="1:32" ht="18">
      <c r="A173" s="2"/>
      <c r="B173" s="2"/>
      <c r="C173" s="2"/>
      <c r="D173" s="2"/>
      <c r="E173" s="2"/>
      <c r="F173" s="3"/>
      <c r="G173" s="2"/>
      <c r="H173" s="2"/>
      <c r="I173" s="2"/>
      <c r="J173" s="2"/>
      <c r="K173" s="2"/>
      <c r="L173" s="2"/>
      <c r="M173" s="2"/>
      <c r="N173" s="296"/>
      <c r="O173" s="114"/>
      <c r="P173" s="239"/>
      <c r="Q173" s="239"/>
      <c r="R173" s="114"/>
      <c r="S173" s="2"/>
      <c r="T173" s="2"/>
      <c r="U173" s="310"/>
      <c r="V173" s="2"/>
      <c r="W173" s="2"/>
      <c r="X173" s="2"/>
      <c r="Y173" s="2"/>
      <c r="Z173" s="2"/>
      <c r="AA173" s="2"/>
      <c r="AB173" s="2"/>
      <c r="AC173" s="2"/>
      <c r="AD173" s="2"/>
      <c r="AE173" s="2"/>
      <c r="AF173" s="2"/>
    </row>
    <row r="174" spans="1:32" ht="18">
      <c r="A174" s="2"/>
      <c r="B174" s="2"/>
      <c r="C174" s="2"/>
      <c r="D174" s="2"/>
      <c r="E174" s="2"/>
      <c r="F174" s="3"/>
      <c r="G174" s="2"/>
      <c r="H174" s="2"/>
      <c r="I174" s="2"/>
      <c r="J174" s="2"/>
      <c r="K174" s="2"/>
      <c r="L174" s="2"/>
      <c r="M174" s="2"/>
      <c r="N174" s="296"/>
      <c r="O174" s="114"/>
      <c r="P174" s="239"/>
      <c r="Q174" s="239"/>
      <c r="R174" s="114"/>
      <c r="S174" s="2"/>
      <c r="T174" s="2"/>
      <c r="U174" s="310"/>
      <c r="V174" s="2"/>
      <c r="W174" s="2"/>
      <c r="X174" s="2"/>
      <c r="Y174" s="2"/>
      <c r="Z174" s="2"/>
      <c r="AA174" s="2"/>
      <c r="AB174" s="2"/>
      <c r="AC174" s="2"/>
      <c r="AD174" s="2"/>
      <c r="AE174" s="2"/>
      <c r="AF174" s="2"/>
    </row>
    <row r="175" spans="1:32" ht="18">
      <c r="A175" s="2"/>
      <c r="B175" s="2"/>
      <c r="C175" s="2"/>
      <c r="D175" s="2"/>
      <c r="E175" s="2"/>
      <c r="F175" s="3"/>
      <c r="G175" s="2"/>
      <c r="H175" s="2"/>
      <c r="I175" s="2"/>
      <c r="J175" s="2"/>
      <c r="K175" s="2"/>
      <c r="L175" s="2"/>
      <c r="M175" s="2"/>
      <c r="N175" s="296"/>
      <c r="O175" s="114"/>
      <c r="P175" s="239"/>
      <c r="Q175" s="239"/>
      <c r="R175" s="114"/>
      <c r="S175" s="2"/>
      <c r="T175" s="2"/>
      <c r="U175" s="310"/>
      <c r="V175" s="2"/>
      <c r="W175" s="2"/>
      <c r="X175" s="2"/>
      <c r="Y175" s="2"/>
      <c r="Z175" s="2"/>
      <c r="AA175" s="2"/>
      <c r="AB175" s="2"/>
      <c r="AC175" s="2"/>
      <c r="AD175" s="2"/>
      <c r="AE175" s="2"/>
      <c r="AF175" s="2"/>
    </row>
    <row r="176" spans="1:32" ht="18">
      <c r="A176" s="2"/>
      <c r="B176" s="2"/>
      <c r="C176" s="2"/>
      <c r="D176" s="2"/>
      <c r="E176" s="2"/>
      <c r="F176" s="3"/>
      <c r="G176" s="2"/>
      <c r="H176" s="2"/>
      <c r="I176" s="2"/>
      <c r="J176" s="2"/>
      <c r="K176" s="2"/>
      <c r="L176" s="2"/>
      <c r="M176" s="2"/>
      <c r="N176" s="296"/>
      <c r="O176" s="114"/>
      <c r="P176" s="114"/>
      <c r="Q176" s="239"/>
      <c r="R176" s="114"/>
      <c r="S176" s="2"/>
      <c r="T176" s="2"/>
      <c r="U176" s="310"/>
      <c r="V176" s="2"/>
      <c r="W176" s="2"/>
      <c r="X176" s="2"/>
      <c r="Y176" s="2"/>
      <c r="Z176" s="2"/>
      <c r="AA176" s="2"/>
      <c r="AB176" s="2"/>
      <c r="AC176" s="2"/>
      <c r="AD176" s="2"/>
      <c r="AE176" s="2"/>
      <c r="AF176" s="2"/>
    </row>
    <row r="177" spans="1:32" ht="18">
      <c r="A177" s="2"/>
      <c r="B177" s="2"/>
      <c r="C177" s="2"/>
      <c r="D177" s="2"/>
      <c r="E177" s="2"/>
      <c r="F177" s="3"/>
      <c r="G177" s="2"/>
      <c r="H177" s="2"/>
      <c r="I177" s="2"/>
      <c r="J177" s="2"/>
      <c r="K177" s="2"/>
      <c r="L177" s="2"/>
      <c r="M177" s="2"/>
      <c r="N177" s="296"/>
      <c r="O177" s="239"/>
      <c r="P177" s="239"/>
      <c r="Q177" s="239"/>
      <c r="R177" s="114"/>
      <c r="S177" s="2"/>
      <c r="T177" s="2"/>
      <c r="U177" s="310"/>
      <c r="V177" s="2"/>
      <c r="W177" s="2"/>
      <c r="X177" s="2"/>
      <c r="Y177" s="2"/>
      <c r="Z177" s="2"/>
      <c r="AA177" s="2"/>
      <c r="AB177" s="2"/>
      <c r="AC177" s="2"/>
      <c r="AD177" s="2"/>
      <c r="AE177" s="2"/>
      <c r="AF177" s="2"/>
    </row>
    <row r="178" spans="1:32" ht="18">
      <c r="A178" s="2"/>
      <c r="B178" s="2"/>
      <c r="C178" s="2"/>
      <c r="D178" s="2"/>
      <c r="E178" s="2"/>
      <c r="F178" s="3"/>
      <c r="G178" s="2"/>
      <c r="H178" s="2"/>
      <c r="I178" s="2"/>
      <c r="J178" s="2"/>
      <c r="K178" s="2"/>
      <c r="L178" s="2"/>
      <c r="M178" s="2"/>
      <c r="N178" s="296"/>
      <c r="O178" s="114"/>
      <c r="P178" s="114"/>
      <c r="Q178" s="114"/>
      <c r="R178" s="114"/>
      <c r="S178" s="2"/>
      <c r="T178" s="2"/>
      <c r="U178" s="310"/>
      <c r="V178" s="2"/>
      <c r="W178" s="2"/>
      <c r="X178" s="2"/>
      <c r="Y178" s="2"/>
      <c r="Z178" s="2"/>
      <c r="AA178" s="2"/>
      <c r="AB178" s="2"/>
      <c r="AC178" s="2"/>
      <c r="AD178" s="2"/>
      <c r="AE178" s="2"/>
      <c r="AF178" s="2"/>
    </row>
    <row r="179" spans="1:32" ht="18">
      <c r="A179" s="2"/>
      <c r="B179" s="2"/>
      <c r="C179" s="2"/>
      <c r="D179" s="2"/>
      <c r="E179" s="2"/>
      <c r="F179" s="3"/>
      <c r="G179" s="2"/>
      <c r="H179" s="2"/>
      <c r="I179" s="2"/>
      <c r="J179" s="2"/>
      <c r="K179" s="2"/>
      <c r="L179" s="2"/>
      <c r="M179" s="2"/>
      <c r="N179" s="296"/>
      <c r="O179" s="114"/>
      <c r="P179" s="114"/>
      <c r="Q179" s="114"/>
      <c r="R179" s="114"/>
      <c r="S179" s="2"/>
      <c r="T179" s="2"/>
      <c r="U179" s="310"/>
      <c r="V179" s="2"/>
      <c r="W179" s="2"/>
      <c r="X179" s="2"/>
      <c r="Y179" s="2"/>
      <c r="Z179" s="2"/>
      <c r="AA179" s="2"/>
      <c r="AB179" s="2"/>
      <c r="AC179" s="2"/>
      <c r="AD179" s="2"/>
      <c r="AE179" s="2"/>
      <c r="AF179" s="2"/>
    </row>
    <row r="180" spans="1:32" ht="18">
      <c r="A180" s="2"/>
      <c r="B180" s="2"/>
      <c r="C180" s="2"/>
      <c r="D180" s="2"/>
      <c r="E180" s="2"/>
      <c r="F180" s="3"/>
      <c r="G180" s="2"/>
      <c r="H180" s="2"/>
      <c r="I180" s="2"/>
      <c r="J180" s="2"/>
      <c r="K180" s="2"/>
      <c r="L180" s="2"/>
      <c r="M180" s="2"/>
      <c r="N180" s="296"/>
      <c r="O180" s="114"/>
      <c r="P180" s="114"/>
      <c r="Q180" s="114"/>
      <c r="R180" s="114"/>
      <c r="S180" s="2"/>
      <c r="T180" s="2"/>
      <c r="U180" s="310"/>
      <c r="V180" s="2"/>
      <c r="W180" s="2"/>
      <c r="X180" s="2"/>
      <c r="Y180" s="2"/>
      <c r="Z180" s="2"/>
      <c r="AA180" s="2"/>
      <c r="AB180" s="2"/>
      <c r="AC180" s="2"/>
      <c r="AD180" s="2"/>
      <c r="AE180" s="2"/>
      <c r="AF180" s="2"/>
    </row>
    <row r="181" spans="1:32" ht="18">
      <c r="A181" s="2"/>
      <c r="B181" s="2"/>
      <c r="C181" s="2"/>
      <c r="D181" s="2"/>
      <c r="E181" s="2"/>
      <c r="F181" s="3"/>
      <c r="G181" s="2"/>
      <c r="H181" s="2"/>
      <c r="I181" s="2"/>
      <c r="J181" s="2"/>
      <c r="K181" s="2"/>
      <c r="L181" s="2"/>
      <c r="M181" s="2"/>
      <c r="N181" s="296"/>
      <c r="O181" s="114"/>
      <c r="P181" s="114"/>
      <c r="Q181" s="114"/>
      <c r="R181" s="114"/>
      <c r="S181" s="2"/>
      <c r="T181" s="2"/>
      <c r="U181" s="310"/>
      <c r="V181" s="2"/>
      <c r="W181" s="2"/>
      <c r="X181" s="2"/>
      <c r="Y181" s="2"/>
      <c r="Z181" s="2"/>
      <c r="AA181" s="2"/>
      <c r="AB181" s="2"/>
      <c r="AC181" s="2"/>
      <c r="AD181" s="2"/>
      <c r="AE181" s="2"/>
      <c r="AF181" s="2"/>
    </row>
    <row r="182" spans="1:32" ht="18">
      <c r="A182" s="2"/>
      <c r="B182" s="2"/>
      <c r="C182" s="2"/>
      <c r="D182" s="2"/>
      <c r="E182" s="2"/>
      <c r="F182" s="3"/>
      <c r="G182" s="2"/>
      <c r="H182" s="2"/>
      <c r="I182" s="2"/>
      <c r="J182" s="2"/>
      <c r="K182" s="2"/>
      <c r="L182" s="2"/>
      <c r="M182" s="2"/>
      <c r="N182" s="296"/>
      <c r="O182" s="114"/>
      <c r="P182" s="114"/>
      <c r="Q182" s="114"/>
      <c r="R182" s="114"/>
      <c r="S182" s="2"/>
      <c r="T182" s="2"/>
      <c r="U182" s="310"/>
      <c r="V182" s="2"/>
      <c r="W182" s="2"/>
      <c r="X182" s="2"/>
      <c r="Y182" s="2"/>
      <c r="Z182" s="2"/>
      <c r="AA182" s="2"/>
      <c r="AB182" s="2"/>
      <c r="AC182" s="2"/>
      <c r="AD182" s="2"/>
      <c r="AE182" s="2"/>
      <c r="AF182" s="2"/>
    </row>
    <row r="183" spans="1:32" ht="18">
      <c r="A183" s="2"/>
      <c r="B183" s="2"/>
      <c r="C183" s="2"/>
      <c r="D183" s="2"/>
      <c r="E183" s="2"/>
      <c r="F183" s="3"/>
      <c r="G183" s="2"/>
      <c r="H183" s="2"/>
      <c r="I183" s="2"/>
      <c r="J183" s="2"/>
      <c r="K183" s="2"/>
      <c r="L183" s="2"/>
      <c r="M183" s="2"/>
      <c r="N183" s="296"/>
      <c r="O183" s="114"/>
      <c r="P183" s="114"/>
      <c r="Q183" s="114"/>
      <c r="R183" s="114"/>
      <c r="S183" s="2"/>
      <c r="T183" s="2"/>
      <c r="U183" s="310"/>
      <c r="V183" s="2"/>
      <c r="W183" s="2"/>
      <c r="X183" s="2"/>
      <c r="Y183" s="2"/>
      <c r="Z183" s="2"/>
      <c r="AA183" s="2"/>
      <c r="AB183" s="2"/>
      <c r="AC183" s="2"/>
      <c r="AD183" s="2"/>
      <c r="AE183" s="2"/>
      <c r="AF183" s="2"/>
    </row>
    <row r="184" spans="1:32" ht="18">
      <c r="A184" s="2"/>
      <c r="B184" s="2"/>
      <c r="C184" s="2"/>
      <c r="D184" s="2"/>
      <c r="E184" s="2"/>
      <c r="F184" s="3"/>
      <c r="G184" s="2"/>
      <c r="H184" s="2"/>
      <c r="I184" s="2"/>
      <c r="J184" s="2"/>
      <c r="K184" s="2"/>
      <c r="L184" s="2"/>
      <c r="M184" s="2"/>
      <c r="N184" s="296"/>
      <c r="O184" s="239"/>
      <c r="P184" s="239"/>
      <c r="Q184" s="114"/>
      <c r="R184" s="114"/>
      <c r="S184" s="2"/>
      <c r="T184" s="2"/>
      <c r="U184" s="310"/>
      <c r="V184" s="2"/>
      <c r="W184" s="2"/>
      <c r="X184" s="2"/>
      <c r="Y184" s="2"/>
      <c r="Z184" s="2"/>
      <c r="AA184" s="2"/>
      <c r="AB184" s="2"/>
      <c r="AC184" s="2"/>
      <c r="AD184" s="2"/>
      <c r="AE184" s="2"/>
      <c r="AF184" s="2"/>
    </row>
    <row r="185" spans="1:32" ht="18">
      <c r="A185" s="2"/>
      <c r="B185" s="2"/>
      <c r="C185" s="2"/>
      <c r="D185" s="2"/>
      <c r="E185" s="2"/>
      <c r="F185" s="3"/>
      <c r="G185" s="2"/>
      <c r="H185" s="2"/>
      <c r="I185" s="2"/>
      <c r="J185" s="2"/>
      <c r="K185" s="2"/>
      <c r="L185" s="2"/>
      <c r="M185" s="2"/>
      <c r="N185" s="296"/>
      <c r="O185" s="114"/>
      <c r="P185" s="114"/>
      <c r="Q185" s="114"/>
      <c r="R185" s="114"/>
      <c r="S185" s="2"/>
      <c r="T185" s="2"/>
      <c r="U185" s="310"/>
      <c r="V185" s="2"/>
      <c r="W185" s="2"/>
      <c r="X185" s="2"/>
      <c r="Y185" s="2"/>
      <c r="Z185" s="2"/>
      <c r="AA185" s="2"/>
      <c r="AB185" s="2"/>
      <c r="AC185" s="2"/>
      <c r="AD185" s="2"/>
      <c r="AE185" s="2"/>
      <c r="AF185" s="2"/>
    </row>
    <row r="186" spans="1:32" ht="18">
      <c r="A186" s="2"/>
      <c r="B186" s="2"/>
      <c r="C186" s="2"/>
      <c r="D186" s="2"/>
      <c r="E186" s="2"/>
      <c r="F186" s="3"/>
      <c r="G186" s="2"/>
      <c r="H186" s="2"/>
      <c r="I186" s="2"/>
      <c r="J186" s="2"/>
      <c r="K186" s="2"/>
      <c r="L186" s="2"/>
      <c r="M186" s="2"/>
      <c r="N186" s="296"/>
      <c r="O186" s="114"/>
      <c r="P186" s="114"/>
      <c r="Q186" s="114"/>
      <c r="R186" s="114"/>
      <c r="S186" s="2"/>
      <c r="T186" s="2"/>
      <c r="U186" s="310"/>
      <c r="V186" s="2"/>
      <c r="W186" s="2"/>
      <c r="X186" s="2"/>
      <c r="Y186" s="2"/>
      <c r="Z186" s="2"/>
      <c r="AA186" s="2"/>
      <c r="AB186" s="2"/>
      <c r="AC186" s="2"/>
      <c r="AD186" s="2"/>
      <c r="AE186" s="2"/>
      <c r="AF186" s="2"/>
    </row>
    <row r="187" spans="1:32" ht="18">
      <c r="A187" s="2"/>
      <c r="B187" s="2"/>
      <c r="C187" s="2"/>
      <c r="D187" s="2"/>
      <c r="E187" s="2"/>
      <c r="F187" s="3"/>
      <c r="G187" s="2"/>
      <c r="H187" s="2"/>
      <c r="I187" s="2"/>
      <c r="J187" s="2"/>
      <c r="K187" s="2"/>
      <c r="L187" s="2"/>
      <c r="M187" s="2"/>
      <c r="N187" s="296"/>
      <c r="O187" s="114"/>
      <c r="P187" s="114"/>
      <c r="Q187" s="114"/>
      <c r="R187" s="114"/>
      <c r="S187" s="2"/>
      <c r="T187" s="2"/>
      <c r="U187" s="310"/>
      <c r="V187" s="2"/>
      <c r="W187" s="2"/>
      <c r="X187" s="2"/>
      <c r="Y187" s="2"/>
      <c r="Z187" s="2"/>
      <c r="AA187" s="2"/>
      <c r="AB187" s="2"/>
      <c r="AC187" s="2"/>
      <c r="AD187" s="2"/>
      <c r="AE187" s="2"/>
      <c r="AF187" s="2"/>
    </row>
    <row r="188" spans="1:32" ht="18">
      <c r="A188" s="2"/>
      <c r="B188" s="2"/>
      <c r="C188" s="2"/>
      <c r="D188" s="2"/>
      <c r="E188" s="2"/>
      <c r="F188" s="3"/>
      <c r="G188" s="2"/>
      <c r="H188" s="2"/>
      <c r="I188" s="2"/>
      <c r="J188" s="2"/>
      <c r="K188" s="2"/>
      <c r="L188" s="2"/>
      <c r="M188" s="2"/>
      <c r="N188" s="296"/>
      <c r="O188" s="114"/>
      <c r="P188" s="239"/>
      <c r="Q188" s="114"/>
      <c r="R188" s="114"/>
      <c r="S188" s="2"/>
      <c r="T188" s="2"/>
      <c r="U188" s="310"/>
      <c r="V188" s="2"/>
      <c r="W188" s="2"/>
      <c r="X188" s="2"/>
      <c r="Y188" s="2"/>
      <c r="Z188" s="2"/>
      <c r="AA188" s="2"/>
      <c r="AB188" s="2"/>
      <c r="AC188" s="2"/>
      <c r="AD188" s="2"/>
      <c r="AE188" s="2"/>
      <c r="AF188" s="2"/>
    </row>
    <row r="189" spans="1:32" ht="18">
      <c r="A189" s="2"/>
      <c r="B189" s="2"/>
      <c r="C189" s="2"/>
      <c r="D189" s="2"/>
      <c r="E189" s="2"/>
      <c r="F189" s="3"/>
      <c r="G189" s="2"/>
      <c r="H189" s="2"/>
      <c r="I189" s="2"/>
      <c r="J189" s="2"/>
      <c r="K189" s="2"/>
      <c r="L189" s="2"/>
      <c r="M189" s="2"/>
      <c r="N189" s="296"/>
      <c r="O189" s="114"/>
      <c r="P189" s="114"/>
      <c r="Q189" s="114"/>
      <c r="R189" s="114"/>
      <c r="S189" s="2"/>
      <c r="T189" s="2"/>
      <c r="U189" s="310"/>
      <c r="V189" s="2"/>
      <c r="W189" s="2"/>
      <c r="X189" s="2"/>
      <c r="Y189" s="2"/>
      <c r="Z189" s="2"/>
      <c r="AA189" s="2"/>
      <c r="AB189" s="2"/>
      <c r="AC189" s="2"/>
      <c r="AD189" s="2"/>
      <c r="AE189" s="2"/>
      <c r="AF189" s="2"/>
    </row>
    <row r="190" spans="1:32" ht="18">
      <c r="A190" s="2"/>
      <c r="B190" s="2"/>
      <c r="C190" s="2"/>
      <c r="D190" s="2"/>
      <c r="E190" s="2"/>
      <c r="F190" s="3"/>
      <c r="G190" s="2"/>
      <c r="H190" s="2"/>
      <c r="I190" s="2"/>
      <c r="J190" s="2"/>
      <c r="K190" s="2"/>
      <c r="L190" s="2"/>
      <c r="M190" s="2"/>
      <c r="N190" s="296"/>
      <c r="O190" s="114"/>
      <c r="P190" s="114"/>
      <c r="Q190" s="114"/>
      <c r="R190" s="114"/>
      <c r="S190" s="2"/>
      <c r="T190" s="2"/>
      <c r="U190" s="310"/>
      <c r="V190" s="2"/>
      <c r="W190" s="2"/>
      <c r="X190" s="2"/>
      <c r="Y190" s="2"/>
      <c r="Z190" s="2"/>
      <c r="AA190" s="2"/>
      <c r="AB190" s="2"/>
      <c r="AC190" s="2"/>
      <c r="AD190" s="2"/>
      <c r="AE190" s="2"/>
      <c r="AF190" s="2"/>
    </row>
    <row r="191" spans="1:32" ht="18">
      <c r="A191" s="2"/>
      <c r="B191" s="2"/>
      <c r="C191" s="2"/>
      <c r="D191" s="2"/>
      <c r="E191" s="2"/>
      <c r="F191" s="3"/>
      <c r="G191" s="2"/>
      <c r="H191" s="2"/>
      <c r="I191" s="2"/>
      <c r="J191" s="2"/>
      <c r="K191" s="2"/>
      <c r="L191" s="2"/>
      <c r="M191" s="2"/>
      <c r="N191" s="296"/>
      <c r="O191" s="239"/>
      <c r="P191" s="239"/>
      <c r="Q191" s="114"/>
      <c r="R191" s="114"/>
      <c r="S191" s="2"/>
      <c r="T191" s="2"/>
      <c r="U191" s="310"/>
      <c r="V191" s="2"/>
      <c r="W191" s="2"/>
      <c r="X191" s="2"/>
      <c r="Y191" s="2"/>
      <c r="Z191" s="2"/>
      <c r="AA191" s="2"/>
      <c r="AB191" s="2"/>
      <c r="AC191" s="2"/>
      <c r="AD191" s="2"/>
      <c r="AE191" s="2"/>
      <c r="AF191" s="2"/>
    </row>
    <row r="192" spans="1:32" ht="18">
      <c r="A192" s="2"/>
      <c r="B192" s="2"/>
      <c r="C192" s="2"/>
      <c r="D192" s="2"/>
      <c r="E192" s="2"/>
      <c r="F192" s="3"/>
      <c r="G192" s="2"/>
      <c r="H192" s="2"/>
      <c r="I192" s="2"/>
      <c r="J192" s="2"/>
      <c r="K192" s="2"/>
      <c r="L192" s="2"/>
      <c r="M192" s="2"/>
      <c r="N192" s="296"/>
      <c r="O192" s="114"/>
      <c r="P192" s="114"/>
      <c r="Q192" s="114"/>
      <c r="R192" s="114"/>
      <c r="S192" s="2"/>
      <c r="T192" s="2"/>
      <c r="U192" s="310"/>
      <c r="V192" s="2"/>
      <c r="W192" s="2"/>
      <c r="X192" s="2"/>
      <c r="Y192" s="2"/>
      <c r="Z192" s="2"/>
      <c r="AA192" s="2"/>
      <c r="AB192" s="2"/>
      <c r="AC192" s="2"/>
      <c r="AD192" s="2"/>
      <c r="AE192" s="2"/>
      <c r="AF192" s="2"/>
    </row>
    <row r="193" spans="1:32" ht="18">
      <c r="A193" s="2"/>
      <c r="B193" s="2"/>
      <c r="C193" s="2"/>
      <c r="D193" s="2"/>
      <c r="E193" s="2"/>
      <c r="F193" s="3"/>
      <c r="G193" s="2"/>
      <c r="H193" s="2"/>
      <c r="I193" s="2"/>
      <c r="J193" s="2"/>
      <c r="K193" s="2"/>
      <c r="L193" s="2"/>
      <c r="M193" s="2"/>
      <c r="N193" s="296"/>
      <c r="O193" s="114"/>
      <c r="P193" s="114"/>
      <c r="Q193" s="114"/>
      <c r="R193" s="114"/>
      <c r="S193" s="2"/>
      <c r="T193" s="2"/>
      <c r="U193" s="310"/>
      <c r="V193" s="2"/>
      <c r="W193" s="2"/>
      <c r="X193" s="2"/>
      <c r="Y193" s="2"/>
      <c r="Z193" s="2"/>
      <c r="AA193" s="2"/>
      <c r="AB193" s="2"/>
      <c r="AC193" s="2"/>
      <c r="AD193" s="2"/>
      <c r="AE193" s="2"/>
      <c r="AF193" s="2"/>
    </row>
    <row r="194" spans="1:32" ht="18">
      <c r="A194" s="2"/>
      <c r="B194" s="2"/>
      <c r="C194" s="2"/>
      <c r="D194" s="2"/>
      <c r="E194" s="2"/>
      <c r="F194" s="3"/>
      <c r="G194" s="2"/>
      <c r="H194" s="2"/>
      <c r="I194" s="2"/>
      <c r="J194" s="2"/>
      <c r="K194" s="2"/>
      <c r="L194" s="2"/>
      <c r="M194" s="2"/>
      <c r="N194" s="296"/>
      <c r="O194" s="239"/>
      <c r="P194" s="239"/>
      <c r="Q194" s="114"/>
      <c r="R194" s="114"/>
      <c r="S194" s="2"/>
      <c r="T194" s="2"/>
      <c r="U194" s="310"/>
      <c r="V194" s="2"/>
      <c r="W194" s="2"/>
      <c r="X194" s="2"/>
      <c r="Y194" s="2"/>
      <c r="Z194" s="2"/>
      <c r="AA194" s="2"/>
      <c r="AB194" s="2"/>
      <c r="AC194" s="2"/>
      <c r="AD194" s="2"/>
      <c r="AE194" s="2"/>
      <c r="AF194" s="2"/>
    </row>
    <row r="195" spans="1:32" ht="18">
      <c r="A195" s="2"/>
      <c r="B195" s="2"/>
      <c r="C195" s="2"/>
      <c r="D195" s="2"/>
      <c r="E195" s="2"/>
      <c r="F195" s="2"/>
      <c r="G195" s="2"/>
      <c r="H195" s="2"/>
      <c r="I195" s="2"/>
      <c r="J195" s="2"/>
      <c r="K195" s="2"/>
      <c r="L195" s="2"/>
      <c r="M195" s="2"/>
      <c r="N195" s="296"/>
      <c r="O195" s="239"/>
      <c r="P195" s="239"/>
      <c r="Q195" s="239"/>
      <c r="R195" s="114"/>
      <c r="S195" s="2"/>
      <c r="T195" s="2"/>
      <c r="U195" s="310"/>
      <c r="V195" s="2"/>
      <c r="W195" s="2"/>
      <c r="X195" s="2"/>
      <c r="Y195" s="2"/>
      <c r="Z195" s="2"/>
      <c r="AA195" s="2"/>
      <c r="AB195" s="2"/>
      <c r="AC195" s="2"/>
      <c r="AD195" s="2"/>
      <c r="AE195" s="2"/>
      <c r="AF195" s="2"/>
    </row>
    <row r="196" spans="1:32" ht="18">
      <c r="A196" s="2"/>
      <c r="B196" s="2"/>
      <c r="C196" s="2"/>
      <c r="D196" s="2"/>
      <c r="E196" s="2"/>
      <c r="F196" s="2"/>
      <c r="G196" s="2"/>
      <c r="H196" s="2"/>
      <c r="I196" s="2"/>
      <c r="J196" s="2"/>
      <c r="K196" s="2"/>
      <c r="L196" s="2"/>
      <c r="M196" s="2"/>
      <c r="N196" s="296"/>
      <c r="O196" s="114"/>
      <c r="P196" s="239"/>
      <c r="Q196" s="114"/>
      <c r="R196" s="114"/>
      <c r="S196" s="2"/>
      <c r="T196" s="2"/>
      <c r="U196" s="310"/>
      <c r="V196" s="2"/>
      <c r="W196" s="2"/>
      <c r="X196" s="2"/>
      <c r="Y196" s="2"/>
      <c r="Z196" s="2"/>
      <c r="AA196" s="2"/>
      <c r="AB196" s="2"/>
      <c r="AC196" s="2"/>
      <c r="AD196" s="2"/>
      <c r="AE196" s="2"/>
      <c r="AF196" s="2"/>
    </row>
    <row r="197" spans="1:32" ht="18">
      <c r="A197" s="2"/>
      <c r="B197" s="2"/>
      <c r="C197" s="2"/>
      <c r="D197" s="2"/>
      <c r="E197" s="2"/>
      <c r="F197" s="2"/>
      <c r="G197" s="2"/>
      <c r="H197" s="2"/>
      <c r="I197" s="2"/>
      <c r="J197" s="2"/>
      <c r="K197" s="2"/>
      <c r="L197" s="2"/>
      <c r="M197" s="2"/>
      <c r="N197" s="296"/>
      <c r="O197" s="114"/>
      <c r="P197" s="239"/>
      <c r="Q197" s="239"/>
      <c r="R197" s="114"/>
      <c r="S197" s="2"/>
      <c r="T197" s="2"/>
      <c r="U197" s="310"/>
      <c r="V197" s="2"/>
      <c r="W197" s="2"/>
      <c r="X197" s="2"/>
      <c r="Y197" s="2"/>
      <c r="Z197" s="2"/>
      <c r="AA197" s="2"/>
      <c r="AB197" s="2"/>
      <c r="AC197" s="2"/>
      <c r="AD197" s="2"/>
      <c r="AE197" s="2"/>
      <c r="AF197" s="2"/>
    </row>
    <row r="198" spans="1:32" ht="18">
      <c r="A198" s="2"/>
      <c r="B198" s="2"/>
      <c r="C198" s="2"/>
      <c r="D198" s="2"/>
      <c r="E198" s="2"/>
      <c r="F198" s="2"/>
      <c r="G198" s="2"/>
      <c r="H198" s="2"/>
      <c r="I198" s="2"/>
      <c r="J198" s="2"/>
      <c r="K198" s="2"/>
      <c r="L198" s="2"/>
      <c r="M198" s="2"/>
      <c r="N198" s="296"/>
      <c r="O198" s="239"/>
      <c r="P198" s="239"/>
      <c r="Q198" s="239"/>
      <c r="R198" s="114"/>
      <c r="S198" s="2"/>
      <c r="T198" s="2"/>
      <c r="U198" s="310"/>
      <c r="V198" s="2"/>
      <c r="W198" s="2"/>
      <c r="X198" s="2"/>
      <c r="Y198" s="2"/>
      <c r="Z198" s="2"/>
      <c r="AA198" s="2"/>
      <c r="AB198" s="2"/>
      <c r="AC198" s="2"/>
      <c r="AD198" s="2"/>
      <c r="AE198" s="2"/>
      <c r="AF198" s="2"/>
    </row>
    <row r="199" spans="1:32" ht="18">
      <c r="A199" s="2"/>
      <c r="B199" s="2"/>
      <c r="C199" s="2"/>
      <c r="D199" s="2"/>
      <c r="E199" s="2"/>
      <c r="F199" s="2"/>
      <c r="G199" s="2"/>
      <c r="H199" s="2"/>
      <c r="I199" s="2"/>
      <c r="J199" s="2"/>
      <c r="K199" s="2"/>
      <c r="L199" s="2"/>
      <c r="M199" s="2"/>
      <c r="N199" s="296"/>
      <c r="O199" s="114"/>
      <c r="P199" s="114"/>
      <c r="Q199" s="114"/>
      <c r="R199" s="114"/>
      <c r="S199" s="2"/>
      <c r="T199" s="2"/>
      <c r="U199" s="310"/>
      <c r="V199" s="2"/>
      <c r="W199" s="2"/>
      <c r="X199" s="2"/>
      <c r="Y199" s="2"/>
      <c r="Z199" s="2"/>
      <c r="AA199" s="2"/>
      <c r="AB199" s="2"/>
      <c r="AC199" s="2"/>
      <c r="AD199" s="2"/>
      <c r="AE199" s="2"/>
      <c r="AF199" s="2"/>
    </row>
    <row r="200" spans="1:32" ht="18">
      <c r="A200" s="2"/>
      <c r="B200" s="2"/>
      <c r="C200" s="2"/>
      <c r="D200" s="2"/>
      <c r="E200" s="2"/>
      <c r="F200" s="2"/>
      <c r="G200" s="2"/>
      <c r="H200" s="2"/>
      <c r="I200" s="2"/>
      <c r="J200" s="2"/>
      <c r="K200" s="2"/>
      <c r="L200" s="2"/>
      <c r="M200" s="2"/>
      <c r="N200" s="296"/>
      <c r="O200" s="114"/>
      <c r="P200" s="114"/>
      <c r="Q200" s="114"/>
      <c r="R200" s="114"/>
      <c r="S200" s="2"/>
      <c r="T200" s="2"/>
      <c r="U200" s="310"/>
      <c r="V200" s="2"/>
      <c r="W200" s="2"/>
      <c r="X200" s="2"/>
      <c r="Y200" s="2"/>
      <c r="Z200" s="2"/>
      <c r="AA200" s="2"/>
      <c r="AB200" s="2"/>
      <c r="AC200" s="2"/>
      <c r="AD200" s="2"/>
      <c r="AE200" s="2"/>
      <c r="AF200" s="2"/>
    </row>
    <row r="201" spans="1:32" ht="18">
      <c r="A201" s="2"/>
      <c r="B201" s="2"/>
      <c r="C201" s="2"/>
      <c r="D201" s="2"/>
      <c r="E201" s="2"/>
      <c r="F201" s="2"/>
      <c r="G201" s="2"/>
      <c r="H201" s="2"/>
      <c r="I201" s="2"/>
      <c r="J201" s="2"/>
      <c r="K201" s="2"/>
      <c r="L201" s="2"/>
      <c r="M201" s="2"/>
      <c r="N201" s="296"/>
      <c r="O201" s="114"/>
      <c r="P201" s="239"/>
      <c r="Q201" s="239"/>
      <c r="R201" s="114"/>
      <c r="S201" s="2"/>
      <c r="T201" s="2"/>
      <c r="U201" s="310"/>
      <c r="V201" s="2"/>
      <c r="W201" s="2"/>
      <c r="X201" s="2"/>
      <c r="Y201" s="2"/>
      <c r="Z201" s="2"/>
      <c r="AA201" s="2"/>
      <c r="AB201" s="2"/>
      <c r="AC201" s="2"/>
      <c r="AD201" s="2"/>
      <c r="AE201" s="2"/>
      <c r="AF201" s="2"/>
    </row>
    <row r="202" spans="1:32" ht="18">
      <c r="A202" s="2"/>
      <c r="B202" s="2"/>
      <c r="C202" s="2"/>
      <c r="D202" s="2"/>
      <c r="E202" s="2"/>
      <c r="F202" s="2"/>
      <c r="G202" s="2"/>
      <c r="H202" s="2"/>
      <c r="I202" s="2"/>
      <c r="J202" s="2"/>
      <c r="K202" s="2"/>
      <c r="L202" s="2"/>
      <c r="M202" s="2"/>
      <c r="N202" s="296"/>
      <c r="O202" s="114"/>
      <c r="P202" s="239"/>
      <c r="Q202" s="239"/>
      <c r="R202" s="114"/>
      <c r="S202" s="2"/>
      <c r="T202" s="2"/>
      <c r="U202" s="310"/>
      <c r="V202" s="2"/>
      <c r="W202" s="2"/>
      <c r="X202" s="2"/>
      <c r="Y202" s="2"/>
      <c r="Z202" s="2"/>
      <c r="AA202" s="2"/>
      <c r="AB202" s="2"/>
      <c r="AC202" s="2"/>
      <c r="AD202" s="2"/>
      <c r="AE202" s="2"/>
      <c r="AF202" s="2"/>
    </row>
    <row r="203" spans="1:32" ht="18">
      <c r="A203" s="2"/>
      <c r="B203" s="2"/>
      <c r="C203" s="2"/>
      <c r="D203" s="2"/>
      <c r="E203" s="2"/>
      <c r="F203" s="2"/>
      <c r="G203" s="2"/>
      <c r="H203" s="2"/>
      <c r="I203" s="2"/>
      <c r="J203" s="2"/>
      <c r="K203" s="2"/>
      <c r="L203" s="2"/>
      <c r="M203" s="2"/>
      <c r="N203" s="296"/>
      <c r="O203" s="114"/>
      <c r="P203" s="239"/>
      <c r="Q203" s="239"/>
      <c r="R203" s="114"/>
      <c r="S203" s="2"/>
      <c r="T203" s="2"/>
      <c r="U203" s="310"/>
      <c r="V203" s="2"/>
      <c r="W203" s="2"/>
      <c r="X203" s="2"/>
      <c r="Y203" s="2"/>
      <c r="Z203" s="2"/>
      <c r="AA203" s="2"/>
      <c r="AB203" s="2"/>
      <c r="AC203" s="2"/>
      <c r="AD203" s="2"/>
      <c r="AE203" s="2"/>
      <c r="AF203" s="2"/>
    </row>
    <row r="204" spans="1:32" ht="18">
      <c r="A204" s="2"/>
      <c r="B204" s="2"/>
      <c r="C204" s="2"/>
      <c r="D204" s="2"/>
      <c r="E204" s="2"/>
      <c r="F204" s="2"/>
      <c r="G204" s="2"/>
      <c r="H204" s="2"/>
      <c r="I204" s="2"/>
      <c r="J204" s="2"/>
      <c r="K204" s="2"/>
      <c r="L204" s="2"/>
      <c r="M204" s="2"/>
      <c r="N204" s="296"/>
      <c r="O204" s="114"/>
      <c r="P204" s="114"/>
      <c r="Q204" s="239"/>
      <c r="R204" s="114"/>
      <c r="S204" s="2"/>
      <c r="T204" s="2"/>
      <c r="U204" s="310"/>
      <c r="V204" s="2"/>
      <c r="W204" s="2"/>
      <c r="X204" s="2"/>
      <c r="Y204" s="2"/>
      <c r="Z204" s="2"/>
      <c r="AA204" s="2"/>
      <c r="AB204" s="2"/>
      <c r="AC204" s="2"/>
      <c r="AD204" s="2"/>
      <c r="AE204" s="2"/>
      <c r="AF204" s="2"/>
    </row>
    <row r="205" spans="1:32" ht="18">
      <c r="A205" s="2"/>
      <c r="B205" s="2"/>
      <c r="C205" s="2"/>
      <c r="D205" s="2"/>
      <c r="E205" s="2"/>
      <c r="F205" s="2"/>
      <c r="G205" s="2"/>
      <c r="H205" s="2"/>
      <c r="I205" s="2"/>
      <c r="J205" s="2"/>
      <c r="K205" s="2"/>
      <c r="L205" s="2"/>
      <c r="M205" s="2"/>
      <c r="N205" s="296"/>
      <c r="O205" s="239"/>
      <c r="P205" s="239"/>
      <c r="Q205" s="239"/>
      <c r="R205" s="114"/>
      <c r="S205" s="2"/>
      <c r="T205" s="2"/>
      <c r="U205" s="310"/>
      <c r="V205" s="2"/>
      <c r="W205" s="2"/>
      <c r="X205" s="2"/>
      <c r="Y205" s="2"/>
      <c r="Z205" s="2"/>
      <c r="AA205" s="2"/>
      <c r="AB205" s="2"/>
      <c r="AC205" s="2"/>
      <c r="AD205" s="2"/>
      <c r="AE205" s="2"/>
      <c r="AF205" s="2"/>
    </row>
    <row r="206" spans="1:32" ht="18">
      <c r="A206" s="2"/>
      <c r="B206" s="2"/>
      <c r="C206" s="2"/>
      <c r="D206" s="2"/>
      <c r="E206" s="2"/>
      <c r="F206" s="2"/>
      <c r="G206" s="2"/>
      <c r="H206" s="2"/>
      <c r="I206" s="2"/>
      <c r="J206" s="2"/>
      <c r="K206" s="2"/>
      <c r="L206" s="2"/>
      <c r="M206" s="2"/>
      <c r="N206" s="296"/>
      <c r="O206" s="114"/>
      <c r="P206" s="114"/>
      <c r="Q206" s="114"/>
      <c r="R206" s="114"/>
      <c r="S206" s="2"/>
      <c r="T206" s="2"/>
      <c r="U206" s="310"/>
      <c r="V206" s="2"/>
      <c r="W206" s="2"/>
      <c r="X206" s="2"/>
      <c r="Y206" s="2"/>
      <c r="Z206" s="2"/>
      <c r="AA206" s="2"/>
      <c r="AB206" s="2"/>
      <c r="AC206" s="2"/>
      <c r="AD206" s="2"/>
      <c r="AE206" s="2"/>
      <c r="AF206" s="2"/>
    </row>
    <row r="207" spans="1:32" ht="18">
      <c r="A207" s="2"/>
      <c r="B207" s="2"/>
      <c r="C207" s="2"/>
      <c r="D207" s="2"/>
      <c r="E207" s="2"/>
      <c r="F207" s="2"/>
      <c r="G207" s="2"/>
      <c r="H207" s="2"/>
      <c r="I207" s="2"/>
      <c r="J207" s="2"/>
      <c r="K207" s="2"/>
      <c r="L207" s="2"/>
      <c r="M207" s="2"/>
      <c r="N207" s="296"/>
      <c r="O207" s="114"/>
      <c r="P207" s="114"/>
      <c r="Q207" s="114"/>
      <c r="R207" s="114"/>
      <c r="S207" s="2"/>
      <c r="T207" s="2"/>
      <c r="U207" s="310"/>
      <c r="V207" s="2"/>
      <c r="W207" s="2"/>
      <c r="X207" s="2"/>
      <c r="Y207" s="2"/>
      <c r="Z207" s="2"/>
      <c r="AA207" s="2"/>
      <c r="AB207" s="2"/>
      <c r="AC207" s="2"/>
      <c r="AD207" s="2"/>
      <c r="AE207" s="2"/>
      <c r="AF207" s="2"/>
    </row>
    <row r="208" spans="1:32" ht="18">
      <c r="A208" s="2"/>
      <c r="B208" s="2"/>
      <c r="C208" s="2"/>
      <c r="D208" s="2"/>
      <c r="E208" s="2"/>
      <c r="F208" s="2"/>
      <c r="G208" s="2"/>
      <c r="H208" s="2"/>
      <c r="I208" s="2"/>
      <c r="J208" s="2"/>
      <c r="K208" s="2"/>
      <c r="L208" s="2"/>
      <c r="M208" s="2"/>
      <c r="N208" s="296"/>
      <c r="O208" s="114"/>
      <c r="P208" s="114"/>
      <c r="Q208" s="114"/>
      <c r="R208" s="114"/>
      <c r="S208" s="2"/>
      <c r="T208" s="2"/>
      <c r="U208" s="310"/>
      <c r="V208" s="2"/>
      <c r="W208" s="2"/>
      <c r="X208" s="2"/>
      <c r="Y208" s="2"/>
      <c r="Z208" s="2"/>
      <c r="AA208" s="2"/>
      <c r="AB208" s="2"/>
      <c r="AC208" s="2"/>
      <c r="AD208" s="2"/>
      <c r="AE208" s="2"/>
      <c r="AF208" s="2"/>
    </row>
    <row r="209" spans="1:32" ht="18">
      <c r="A209" s="2"/>
      <c r="B209" s="2"/>
      <c r="C209" s="2"/>
      <c r="D209" s="2"/>
      <c r="E209" s="2"/>
      <c r="F209" s="2"/>
      <c r="G209" s="2"/>
      <c r="H209" s="2"/>
      <c r="I209" s="2"/>
      <c r="J209" s="2"/>
      <c r="K209" s="2"/>
      <c r="L209" s="2"/>
      <c r="M209" s="2"/>
      <c r="N209" s="296"/>
      <c r="O209" s="114"/>
      <c r="P209" s="114"/>
      <c r="Q209" s="114"/>
      <c r="R209" s="114"/>
      <c r="S209" s="2"/>
      <c r="T209" s="2"/>
      <c r="U209" s="310"/>
      <c r="V209" s="2"/>
      <c r="W209" s="2"/>
      <c r="X209" s="2"/>
      <c r="Y209" s="2"/>
      <c r="Z209" s="2"/>
      <c r="AA209" s="2"/>
      <c r="AB209" s="2"/>
      <c r="AC209" s="2"/>
      <c r="AD209" s="2"/>
      <c r="AE209" s="2"/>
      <c r="AF209" s="2"/>
    </row>
    <row r="210" spans="1:32" ht="18">
      <c r="A210" s="2"/>
      <c r="B210" s="2"/>
      <c r="C210" s="2"/>
      <c r="D210" s="2"/>
      <c r="E210" s="2"/>
      <c r="F210" s="2"/>
      <c r="G210" s="2"/>
      <c r="H210" s="2"/>
      <c r="I210" s="2"/>
      <c r="J210" s="2"/>
      <c r="K210" s="2"/>
      <c r="L210" s="2"/>
      <c r="M210" s="2"/>
      <c r="N210" s="296"/>
      <c r="O210" s="114"/>
      <c r="P210" s="114"/>
      <c r="Q210" s="114"/>
      <c r="R210" s="114"/>
      <c r="S210" s="2"/>
      <c r="T210" s="2"/>
      <c r="U210" s="310"/>
      <c r="V210" s="2"/>
      <c r="W210" s="2"/>
      <c r="X210" s="2"/>
      <c r="Y210" s="2"/>
      <c r="Z210" s="2"/>
      <c r="AA210" s="2"/>
      <c r="AB210" s="2"/>
      <c r="AC210" s="2"/>
      <c r="AD210" s="2"/>
      <c r="AE210" s="2"/>
      <c r="AF210" s="2"/>
    </row>
    <row r="211" spans="1:32" ht="18">
      <c r="A211" s="2"/>
      <c r="B211" s="2"/>
      <c r="C211" s="2"/>
      <c r="D211" s="2"/>
      <c r="E211" s="2"/>
      <c r="F211" s="2"/>
      <c r="G211" s="2"/>
      <c r="H211" s="2"/>
      <c r="I211" s="2"/>
      <c r="J211" s="2"/>
      <c r="K211" s="2"/>
      <c r="L211" s="2"/>
      <c r="M211" s="2"/>
      <c r="N211" s="296"/>
      <c r="O211" s="114"/>
      <c r="P211" s="114"/>
      <c r="Q211" s="114"/>
      <c r="R211" s="114"/>
      <c r="S211" s="2"/>
      <c r="T211" s="2"/>
      <c r="U211" s="310"/>
      <c r="V211" s="2"/>
      <c r="W211" s="2"/>
      <c r="X211" s="2"/>
      <c r="Y211" s="2"/>
      <c r="Z211" s="2"/>
      <c r="AA211" s="2"/>
      <c r="AB211" s="2"/>
      <c r="AC211" s="2"/>
      <c r="AD211" s="2"/>
      <c r="AE211" s="2"/>
      <c r="AF211" s="2"/>
    </row>
    <row r="212" spans="1:32" ht="18">
      <c r="A212" s="2"/>
      <c r="B212" s="2"/>
      <c r="C212" s="2"/>
      <c r="D212" s="2"/>
      <c r="E212" s="2"/>
      <c r="F212" s="2"/>
      <c r="G212" s="2"/>
      <c r="H212" s="2"/>
      <c r="I212" s="2"/>
      <c r="J212" s="2"/>
      <c r="K212" s="2"/>
      <c r="L212" s="2"/>
      <c r="M212" s="2"/>
      <c r="N212" s="296"/>
      <c r="O212" s="239"/>
      <c r="P212" s="239"/>
      <c r="Q212" s="114"/>
      <c r="R212" s="114"/>
      <c r="S212" s="2"/>
      <c r="T212" s="2"/>
      <c r="U212" s="310"/>
      <c r="V212" s="2"/>
      <c r="W212" s="2"/>
      <c r="X212" s="2"/>
      <c r="Y212" s="2"/>
      <c r="Z212" s="2"/>
      <c r="AA212" s="2"/>
      <c r="AB212" s="2"/>
      <c r="AC212" s="2"/>
      <c r="AD212" s="2"/>
      <c r="AE212" s="2"/>
      <c r="AF212" s="2"/>
    </row>
    <row r="213" spans="1:32" ht="18">
      <c r="A213" s="2"/>
      <c r="B213" s="2"/>
      <c r="C213" s="2"/>
      <c r="D213" s="2"/>
      <c r="E213" s="2"/>
      <c r="F213" s="2"/>
      <c r="G213" s="2"/>
      <c r="H213" s="2"/>
      <c r="I213" s="2"/>
      <c r="J213" s="2"/>
      <c r="K213" s="2"/>
      <c r="L213" s="2"/>
      <c r="M213" s="2"/>
      <c r="N213" s="296"/>
      <c r="O213" s="114"/>
      <c r="P213" s="114"/>
      <c r="Q213" s="114"/>
      <c r="R213" s="114"/>
      <c r="S213" s="2"/>
      <c r="T213" s="2"/>
      <c r="U213" s="310"/>
      <c r="V213" s="2"/>
      <c r="W213" s="2"/>
      <c r="X213" s="2"/>
      <c r="Y213" s="2"/>
      <c r="Z213" s="2"/>
      <c r="AA213" s="2"/>
      <c r="AB213" s="2"/>
      <c r="AC213" s="2"/>
      <c r="AD213" s="2"/>
      <c r="AE213" s="2"/>
      <c r="AF213" s="2"/>
    </row>
    <row r="214" spans="1:32" ht="18">
      <c r="A214" s="2"/>
      <c r="B214" s="2"/>
      <c r="C214" s="2"/>
      <c r="D214" s="2"/>
      <c r="E214" s="2"/>
      <c r="F214" s="2"/>
      <c r="G214" s="2"/>
      <c r="H214" s="2"/>
      <c r="I214" s="2"/>
      <c r="J214" s="2"/>
      <c r="K214" s="2"/>
      <c r="L214" s="2"/>
      <c r="M214" s="2"/>
      <c r="N214" s="296"/>
      <c r="O214" s="114"/>
      <c r="P214" s="114"/>
      <c r="Q214" s="114"/>
      <c r="R214" s="114"/>
      <c r="S214" s="2"/>
      <c r="T214" s="2"/>
      <c r="U214" s="310"/>
      <c r="V214" s="2"/>
      <c r="W214" s="2"/>
      <c r="X214" s="2"/>
      <c r="Y214" s="2"/>
      <c r="Z214" s="2"/>
      <c r="AA214" s="2"/>
      <c r="AB214" s="2"/>
      <c r="AC214" s="2"/>
      <c r="AD214" s="2"/>
      <c r="AE214" s="2"/>
      <c r="AF214" s="2"/>
    </row>
    <row r="215" spans="1:32" ht="18">
      <c r="A215" s="2"/>
      <c r="B215" s="2"/>
      <c r="C215" s="2"/>
      <c r="D215" s="2"/>
      <c r="E215" s="2"/>
      <c r="F215" s="2"/>
      <c r="G215" s="2"/>
      <c r="H215" s="2"/>
      <c r="I215" s="2"/>
      <c r="J215" s="2"/>
      <c r="K215" s="2"/>
      <c r="L215" s="2"/>
      <c r="M215" s="2"/>
      <c r="N215" s="296"/>
      <c r="O215" s="114"/>
      <c r="P215" s="114"/>
      <c r="Q215" s="114"/>
      <c r="R215" s="114"/>
      <c r="S215" s="2"/>
      <c r="T215" s="2"/>
      <c r="U215" s="310"/>
      <c r="V215" s="2"/>
      <c r="W215" s="2"/>
      <c r="X215" s="2"/>
      <c r="Y215" s="2"/>
      <c r="Z215" s="2"/>
      <c r="AA215" s="2"/>
      <c r="AB215" s="2"/>
      <c r="AC215" s="2"/>
      <c r="AD215" s="2"/>
      <c r="AE215" s="2"/>
      <c r="AF215" s="2"/>
    </row>
    <row r="216" spans="1:32" ht="18">
      <c r="A216" s="2"/>
      <c r="B216" s="2"/>
      <c r="C216" s="2"/>
      <c r="D216" s="2"/>
      <c r="E216" s="2"/>
      <c r="F216" s="2"/>
      <c r="G216" s="2"/>
      <c r="H216" s="2"/>
      <c r="I216" s="2"/>
      <c r="J216" s="2"/>
      <c r="K216" s="2"/>
      <c r="L216" s="2"/>
      <c r="M216" s="2"/>
      <c r="N216" s="296"/>
      <c r="O216" s="114"/>
      <c r="P216" s="239"/>
      <c r="Q216" s="114"/>
      <c r="R216" s="114"/>
      <c r="S216" s="2"/>
      <c r="T216" s="2"/>
      <c r="U216" s="310"/>
      <c r="V216" s="2"/>
      <c r="W216" s="2"/>
      <c r="X216" s="2"/>
      <c r="Y216" s="2"/>
      <c r="Z216" s="2"/>
      <c r="AA216" s="2"/>
      <c r="AB216" s="2"/>
      <c r="AC216" s="2"/>
      <c r="AD216" s="2"/>
      <c r="AE216" s="2"/>
      <c r="AF216" s="2"/>
    </row>
    <row r="217" spans="1:32" ht="18">
      <c r="A217" s="2"/>
      <c r="B217" s="2"/>
      <c r="C217" s="2"/>
      <c r="D217" s="2"/>
      <c r="E217" s="2"/>
      <c r="F217" s="2"/>
      <c r="G217" s="2"/>
      <c r="H217" s="2"/>
      <c r="I217" s="2"/>
      <c r="J217" s="2"/>
      <c r="K217" s="2"/>
      <c r="L217" s="2"/>
      <c r="M217" s="2"/>
      <c r="N217" s="296"/>
      <c r="O217" s="114"/>
      <c r="P217" s="114"/>
      <c r="Q217" s="114"/>
      <c r="R217" s="114"/>
      <c r="S217" s="2"/>
      <c r="T217" s="2"/>
      <c r="U217" s="310"/>
      <c r="V217" s="2"/>
      <c r="W217" s="2"/>
      <c r="X217" s="2"/>
      <c r="Y217" s="2"/>
      <c r="Z217" s="2"/>
      <c r="AA217" s="2"/>
      <c r="AB217" s="2"/>
      <c r="AC217" s="2"/>
      <c r="AD217" s="2"/>
      <c r="AE217" s="2"/>
      <c r="AF217" s="2"/>
    </row>
    <row r="218" spans="1:32" ht="18">
      <c r="A218" s="2"/>
      <c r="B218" s="2"/>
      <c r="C218" s="2"/>
      <c r="D218" s="2"/>
      <c r="E218" s="2"/>
      <c r="F218" s="2"/>
      <c r="G218" s="2"/>
      <c r="H218" s="2"/>
      <c r="I218" s="2"/>
      <c r="J218" s="2"/>
      <c r="K218" s="2"/>
      <c r="L218" s="2"/>
      <c r="M218" s="2"/>
      <c r="N218" s="296"/>
      <c r="O218" s="114"/>
      <c r="P218" s="114"/>
      <c r="Q218" s="114"/>
      <c r="R218" s="114"/>
      <c r="S218" s="2"/>
      <c r="T218" s="2"/>
      <c r="U218" s="310"/>
      <c r="V218" s="2"/>
      <c r="W218" s="2"/>
      <c r="X218" s="2"/>
      <c r="Y218" s="2"/>
      <c r="Z218" s="2"/>
      <c r="AA218" s="2"/>
      <c r="AB218" s="2"/>
      <c r="AC218" s="2"/>
      <c r="AD218" s="2"/>
      <c r="AE218" s="2"/>
      <c r="AF218" s="2"/>
    </row>
    <row r="219" spans="1:32" ht="18">
      <c r="A219" s="2"/>
      <c r="B219" s="2"/>
      <c r="C219" s="2"/>
      <c r="D219" s="2"/>
      <c r="E219" s="2"/>
      <c r="F219" s="2"/>
      <c r="G219" s="2"/>
      <c r="H219" s="2"/>
      <c r="I219" s="2"/>
      <c r="J219" s="2"/>
      <c r="K219" s="2"/>
      <c r="L219" s="2"/>
      <c r="M219" s="2"/>
      <c r="N219" s="296"/>
      <c r="O219" s="239"/>
      <c r="P219" s="239"/>
      <c r="Q219" s="114"/>
      <c r="R219" s="114"/>
      <c r="S219" s="2"/>
      <c r="T219" s="2"/>
      <c r="U219" s="310"/>
      <c r="V219" s="2"/>
      <c r="W219" s="2"/>
      <c r="X219" s="2"/>
      <c r="Y219" s="2"/>
      <c r="Z219" s="2"/>
      <c r="AA219" s="2"/>
      <c r="AB219" s="2"/>
      <c r="AC219" s="2"/>
      <c r="AD219" s="2"/>
      <c r="AE219" s="2"/>
      <c r="AF219" s="2"/>
    </row>
    <row r="220" spans="1:32" ht="18">
      <c r="A220" s="2"/>
      <c r="B220" s="2"/>
      <c r="C220" s="2"/>
      <c r="D220" s="2"/>
      <c r="E220" s="2"/>
      <c r="F220" s="2"/>
      <c r="G220" s="2"/>
      <c r="H220" s="2"/>
      <c r="I220" s="2"/>
      <c r="J220" s="2"/>
      <c r="K220" s="2"/>
      <c r="L220" s="2"/>
      <c r="M220" s="2"/>
      <c r="N220" s="296"/>
      <c r="O220" s="114"/>
      <c r="P220" s="114"/>
      <c r="Q220" s="114"/>
      <c r="R220" s="114"/>
      <c r="S220" s="2"/>
      <c r="T220" s="2"/>
      <c r="U220" s="310"/>
      <c r="V220" s="2"/>
      <c r="W220" s="2"/>
      <c r="X220" s="2"/>
      <c r="Y220" s="2"/>
      <c r="Z220" s="2"/>
      <c r="AA220" s="2"/>
      <c r="AB220" s="2"/>
      <c r="AC220" s="2"/>
      <c r="AD220" s="2"/>
      <c r="AE220" s="2"/>
      <c r="AF220" s="2"/>
    </row>
    <row r="221" spans="1:32" ht="18">
      <c r="A221" s="2"/>
      <c r="B221" s="2"/>
      <c r="C221" s="2"/>
      <c r="D221" s="2"/>
      <c r="E221" s="2"/>
      <c r="F221" s="2"/>
      <c r="G221" s="2"/>
      <c r="H221" s="2"/>
      <c r="I221" s="2"/>
      <c r="J221" s="2"/>
      <c r="K221" s="2"/>
      <c r="L221" s="2"/>
      <c r="M221" s="2"/>
      <c r="N221" s="296"/>
      <c r="O221" s="114"/>
      <c r="P221" s="114"/>
      <c r="Q221" s="114"/>
      <c r="R221" s="114"/>
      <c r="S221" s="2"/>
      <c r="T221" s="2"/>
      <c r="U221" s="310"/>
      <c r="V221" s="2"/>
      <c r="W221" s="2"/>
      <c r="X221" s="2"/>
      <c r="Y221" s="2"/>
      <c r="Z221" s="2"/>
      <c r="AA221" s="2"/>
      <c r="AB221" s="2"/>
      <c r="AC221" s="2"/>
      <c r="AD221" s="2"/>
      <c r="AE221" s="2"/>
      <c r="AF221" s="2"/>
    </row>
    <row r="222" spans="1:32" ht="18">
      <c r="A222" s="2"/>
      <c r="B222" s="2"/>
      <c r="C222" s="2"/>
      <c r="D222" s="2"/>
      <c r="E222" s="2"/>
      <c r="F222" s="2"/>
      <c r="G222" s="2"/>
      <c r="H222" s="2"/>
      <c r="I222" s="2"/>
      <c r="J222" s="2"/>
      <c r="K222" s="2"/>
      <c r="L222" s="2"/>
      <c r="M222" s="2"/>
      <c r="N222" s="296"/>
      <c r="O222" s="239"/>
      <c r="P222" s="239"/>
      <c r="Q222" s="114"/>
      <c r="R222" s="114"/>
      <c r="S222" s="2"/>
      <c r="T222" s="2"/>
      <c r="U222" s="310"/>
      <c r="V222" s="2"/>
      <c r="W222" s="2"/>
      <c r="X222" s="2"/>
      <c r="Y222" s="2"/>
      <c r="Z222" s="2"/>
      <c r="AA222" s="2"/>
      <c r="AB222" s="2"/>
      <c r="AC222" s="2"/>
      <c r="AD222" s="2"/>
      <c r="AE222" s="2"/>
      <c r="AF222" s="2"/>
    </row>
    <row r="223" spans="1:32" ht="18">
      <c r="A223" s="2"/>
      <c r="B223" s="2"/>
      <c r="C223" s="2"/>
      <c r="D223" s="2"/>
      <c r="E223" s="2"/>
      <c r="F223" s="2"/>
      <c r="G223" s="2"/>
      <c r="H223" s="2"/>
      <c r="I223" s="2"/>
      <c r="J223" s="2"/>
      <c r="K223" s="2"/>
      <c r="L223" s="2"/>
      <c r="M223" s="2"/>
      <c r="N223" s="296"/>
      <c r="O223" s="239"/>
      <c r="P223" s="239"/>
      <c r="Q223" s="239"/>
      <c r="R223" s="114"/>
      <c r="S223" s="2"/>
      <c r="T223" s="2"/>
      <c r="U223" s="310"/>
      <c r="V223" s="2"/>
      <c r="W223" s="2"/>
      <c r="X223" s="2"/>
      <c r="Y223" s="2"/>
      <c r="Z223" s="2"/>
      <c r="AA223" s="2"/>
      <c r="AB223" s="2"/>
      <c r="AC223" s="2"/>
      <c r="AD223" s="2"/>
      <c r="AE223" s="2"/>
      <c r="AF223" s="2"/>
    </row>
    <row r="224" spans="1:32" ht="18">
      <c r="A224" s="2"/>
      <c r="B224" s="2"/>
      <c r="C224" s="2"/>
      <c r="D224" s="2"/>
      <c r="E224" s="2"/>
      <c r="F224" s="2"/>
      <c r="G224" s="2"/>
      <c r="H224" s="2"/>
      <c r="I224" s="2"/>
      <c r="J224" s="2"/>
      <c r="K224" s="2"/>
      <c r="L224" s="2"/>
      <c r="M224" s="2"/>
      <c r="N224" s="296"/>
      <c r="O224" s="114"/>
      <c r="P224" s="239"/>
      <c r="Q224" s="114"/>
      <c r="R224" s="114"/>
      <c r="S224" s="2"/>
      <c r="T224" s="2"/>
      <c r="U224" s="310"/>
      <c r="V224" s="2"/>
      <c r="W224" s="2"/>
      <c r="X224" s="2"/>
      <c r="Y224" s="2"/>
      <c r="Z224" s="2"/>
      <c r="AA224" s="2"/>
      <c r="AB224" s="2"/>
      <c r="AC224" s="2"/>
      <c r="AD224" s="2"/>
      <c r="AE224" s="2"/>
      <c r="AF224" s="2"/>
    </row>
    <row r="225" spans="14:32" ht="18">
      <c r="N225" s="51"/>
      <c r="O225" s="52"/>
      <c r="P225" s="67"/>
      <c r="Q225" s="67"/>
      <c r="R225" s="52"/>
      <c r="T225" s="2"/>
      <c r="U225" s="310"/>
      <c r="V225" s="2"/>
      <c r="W225" s="2"/>
      <c r="X225" s="2"/>
      <c r="Y225" s="2"/>
      <c r="Z225" s="2"/>
      <c r="AA225" s="2"/>
      <c r="AB225" s="2"/>
      <c r="AC225" s="2"/>
      <c r="AD225" s="2"/>
      <c r="AE225" s="2"/>
      <c r="AF225" s="2"/>
    </row>
    <row r="226" spans="14:32" ht="18">
      <c r="N226" s="51"/>
      <c r="O226" s="67"/>
      <c r="P226" s="67"/>
      <c r="Q226" s="67"/>
      <c r="R226" s="52"/>
      <c r="T226" s="2"/>
      <c r="U226" s="310"/>
      <c r="V226" s="2"/>
      <c r="W226" s="2"/>
      <c r="X226" s="2"/>
      <c r="Y226" s="2"/>
      <c r="Z226" s="2"/>
      <c r="AA226" s="2"/>
      <c r="AB226" s="2"/>
      <c r="AC226" s="2"/>
      <c r="AD226" s="2"/>
      <c r="AE226" s="2"/>
      <c r="AF226" s="2"/>
    </row>
    <row r="227" spans="14:32" ht="18">
      <c r="N227" s="51"/>
      <c r="O227" s="52"/>
      <c r="P227" s="52"/>
      <c r="Q227" s="52"/>
      <c r="R227" s="52"/>
      <c r="T227" s="2"/>
      <c r="U227" s="310"/>
      <c r="V227" s="2"/>
      <c r="W227" s="2"/>
      <c r="X227" s="2"/>
      <c r="Y227" s="2"/>
      <c r="Z227" s="2"/>
      <c r="AA227" s="2"/>
      <c r="AB227" s="2"/>
      <c r="AC227" s="2"/>
      <c r="AD227" s="2"/>
      <c r="AE227" s="2"/>
      <c r="AF227" s="2"/>
    </row>
    <row r="228" spans="14:32" ht="18">
      <c r="N228" s="51"/>
      <c r="O228" s="52"/>
      <c r="P228" s="52"/>
      <c r="Q228" s="52"/>
      <c r="R228" s="52"/>
      <c r="T228" s="2"/>
      <c r="U228" s="310"/>
      <c r="V228" s="2"/>
      <c r="W228" s="2"/>
      <c r="X228" s="2"/>
      <c r="Y228" s="2"/>
      <c r="Z228" s="2"/>
      <c r="AA228" s="2"/>
      <c r="AB228" s="2"/>
      <c r="AC228" s="2"/>
      <c r="AD228" s="2"/>
      <c r="AE228" s="2"/>
      <c r="AF228" s="2"/>
    </row>
    <row r="229" spans="14:32" ht="18">
      <c r="N229" s="51"/>
      <c r="O229" s="52"/>
      <c r="P229" s="67"/>
      <c r="Q229" s="67"/>
      <c r="R229" s="52"/>
      <c r="T229" s="2"/>
      <c r="U229" s="310"/>
      <c r="V229" s="2"/>
      <c r="W229" s="2"/>
      <c r="X229" s="2"/>
      <c r="Y229" s="2"/>
      <c r="Z229" s="2"/>
      <c r="AA229" s="2"/>
      <c r="AB229" s="2"/>
      <c r="AC229" s="2"/>
      <c r="AD229" s="2"/>
      <c r="AE229" s="2"/>
      <c r="AF229" s="2"/>
    </row>
    <row r="230" spans="14:32" ht="18">
      <c r="N230" s="51"/>
      <c r="O230" s="52"/>
      <c r="P230" s="67"/>
      <c r="Q230" s="67"/>
      <c r="R230" s="52"/>
      <c r="T230" s="2"/>
      <c r="U230" s="310"/>
      <c r="V230" s="2"/>
      <c r="W230" s="2"/>
      <c r="X230" s="2"/>
      <c r="Y230" s="2"/>
      <c r="Z230" s="2"/>
      <c r="AA230" s="2"/>
      <c r="AB230" s="2"/>
      <c r="AC230" s="2"/>
      <c r="AD230" s="2"/>
      <c r="AE230" s="2"/>
      <c r="AF230" s="2"/>
    </row>
    <row r="231" spans="14:32" ht="18">
      <c r="N231" s="51"/>
      <c r="O231" s="52"/>
      <c r="P231" s="67"/>
      <c r="Q231" s="67"/>
      <c r="R231" s="52"/>
      <c r="T231" s="2"/>
      <c r="U231" s="310"/>
      <c r="V231" s="2"/>
      <c r="W231" s="2"/>
      <c r="X231" s="2"/>
      <c r="Y231" s="2"/>
      <c r="Z231" s="2"/>
      <c r="AA231" s="2"/>
      <c r="AB231" s="2"/>
      <c r="AC231" s="2"/>
      <c r="AD231" s="2"/>
      <c r="AE231" s="2"/>
      <c r="AF231" s="2"/>
    </row>
    <row r="232" spans="14:32" ht="18">
      <c r="N232" s="51"/>
      <c r="O232" s="52"/>
      <c r="P232" s="52"/>
      <c r="Q232" s="67"/>
      <c r="R232" s="52"/>
      <c r="T232" s="2"/>
      <c r="U232" s="310"/>
      <c r="V232" s="2"/>
      <c r="W232" s="2"/>
      <c r="X232" s="2"/>
      <c r="Y232" s="2"/>
      <c r="Z232" s="2"/>
      <c r="AA232" s="2"/>
      <c r="AB232" s="2"/>
      <c r="AC232" s="2"/>
      <c r="AD232" s="2"/>
      <c r="AE232" s="2"/>
      <c r="AF232" s="2"/>
    </row>
    <row r="233" spans="14:32" ht="18">
      <c r="N233" s="51"/>
      <c r="O233" s="67"/>
      <c r="P233" s="67"/>
      <c r="Q233" s="67"/>
      <c r="R233" s="52"/>
      <c r="T233" s="2"/>
      <c r="U233" s="310"/>
      <c r="V233" s="2"/>
      <c r="W233" s="2"/>
      <c r="X233" s="2"/>
      <c r="Y233" s="2"/>
      <c r="Z233" s="2"/>
      <c r="AA233" s="2"/>
      <c r="AB233" s="2"/>
      <c r="AC233" s="2"/>
      <c r="AD233" s="2"/>
      <c r="AE233" s="2"/>
      <c r="AF233" s="2"/>
    </row>
    <row r="234" spans="14:32">
      <c r="N234" s="1"/>
      <c r="O234" s="1"/>
      <c r="P234" s="1"/>
      <c r="Q234" s="1"/>
      <c r="R234" s="52"/>
      <c r="T234" s="2"/>
      <c r="U234" s="310"/>
      <c r="V234" s="2"/>
      <c r="W234" s="2"/>
      <c r="X234" s="2"/>
      <c r="Y234" s="2"/>
      <c r="Z234" s="2"/>
      <c r="AA234" s="2"/>
      <c r="AB234" s="2"/>
      <c r="AC234" s="2"/>
      <c r="AD234" s="2"/>
      <c r="AE234" s="2"/>
      <c r="AF234" s="2"/>
    </row>
    <row r="235" spans="14:32">
      <c r="N235" s="1"/>
      <c r="O235" s="1"/>
      <c r="P235" s="1"/>
      <c r="Q235" s="1"/>
      <c r="R235" s="52"/>
    </row>
    <row r="236" spans="14:32">
      <c r="N236" s="1"/>
      <c r="O236" s="1"/>
      <c r="P236" s="1"/>
      <c r="Q236" s="1"/>
      <c r="R236" s="52"/>
    </row>
    <row r="237" spans="14:32">
      <c r="N237" s="1"/>
      <c r="O237" s="1"/>
      <c r="P237" s="1"/>
      <c r="Q237" s="1"/>
      <c r="R237" s="52"/>
    </row>
    <row r="238" spans="14:32">
      <c r="N238" s="1"/>
      <c r="O238" s="1"/>
      <c r="P238" s="1"/>
      <c r="Q238" s="1"/>
      <c r="R238" s="52"/>
    </row>
    <row r="239" spans="14:32">
      <c r="N239" s="1"/>
      <c r="O239" s="1"/>
      <c r="P239" s="1"/>
      <c r="Q239" s="1"/>
      <c r="R239" s="52"/>
    </row>
    <row r="240" spans="14:32">
      <c r="N240" s="1"/>
      <c r="O240" s="1"/>
      <c r="P240" s="1"/>
      <c r="Q240" s="1"/>
      <c r="R240" s="1"/>
    </row>
  </sheetData>
  <mergeCells count="1">
    <mergeCell ref="T2:U2"/>
  </mergeCells>
  <conditionalFormatting sqref="U3:U5">
    <cfRule type="expression" dxfId="0" priority="1" stopIfTrue="1">
      <formula>IF($U$1="TRUE", details, 0)</formula>
    </cfRule>
  </conditionalFormatting>
  <pageMargins left="0.7" right="0.7" top="0.75" bottom="0.75" header="0.3" footer="0.3"/>
  <pageSetup scale="54" fitToWidth="2" fitToHeight="7" orientation="portrait" r:id="rId1"/>
  <rowBreaks count="2" manualBreakCount="2">
    <brk id="71" max="16383" man="1"/>
    <brk id="121" max="16383" man="1"/>
  </rowBreaks>
  <colBreaks count="1" manualBreakCount="1">
    <brk id="13" max="1048575" man="1"/>
  </colBreaks>
</worksheet>
</file>

<file path=xl/worksheets/sheet4.xml><?xml version="1.0" encoding="utf-8"?>
<worksheet xmlns="http://schemas.openxmlformats.org/spreadsheetml/2006/main" xmlns:r="http://schemas.openxmlformats.org/officeDocument/2006/relationships">
  <sheetPr codeName="Sheet2"/>
  <dimension ref="A1:Y200"/>
  <sheetViews>
    <sheetView zoomScale="85" zoomScaleNormal="85" workbookViewId="0">
      <selection activeCell="J10" sqref="J10"/>
    </sheetView>
  </sheetViews>
  <sheetFormatPr defaultRowHeight="18"/>
  <cols>
    <col min="1" max="1" width="1.7109375" style="51" customWidth="1"/>
    <col min="2" max="2" width="8.7109375" style="52" hidden="1" customWidth="1"/>
    <col min="3" max="4" width="10.85546875" style="52" hidden="1" customWidth="1"/>
    <col min="5" max="5" width="13.85546875" style="62" customWidth="1"/>
    <col min="6" max="6" width="10.85546875" style="63" customWidth="1"/>
    <col min="7" max="7" width="14.28515625" style="63" customWidth="1"/>
    <col min="8" max="8" width="14.7109375" style="63" customWidth="1"/>
    <col min="9" max="9" width="19.85546875" style="63" customWidth="1"/>
    <col min="10" max="10" width="14.5703125" style="34" customWidth="1"/>
    <col min="11" max="11" width="14" style="34" customWidth="1"/>
    <col min="12" max="12" width="14.140625" style="34" customWidth="1"/>
    <col min="13" max="13" width="14" style="34" customWidth="1"/>
    <col min="14" max="14" width="13.28515625" style="34" customWidth="1"/>
    <col min="15" max="15" width="11.28515625" style="34" customWidth="1"/>
    <col min="16" max="19" width="9.140625" style="34"/>
    <col min="20" max="20" width="13.7109375" style="34" customWidth="1"/>
    <col min="21" max="16384" width="9.140625" style="34"/>
  </cols>
  <sheetData>
    <row r="1" spans="1:25" s="36" customFormat="1" ht="49.5" customHeight="1">
      <c r="A1" s="49"/>
      <c r="B1" s="49"/>
      <c r="C1" s="49"/>
      <c r="D1" s="49"/>
      <c r="E1" s="55" t="s">
        <v>49</v>
      </c>
      <c r="F1" s="55" t="s">
        <v>16</v>
      </c>
      <c r="G1" s="55" t="s">
        <v>55</v>
      </c>
      <c r="H1" s="55" t="s">
        <v>58</v>
      </c>
      <c r="I1" s="55" t="s">
        <v>59</v>
      </c>
    </row>
    <row r="2" spans="1:25" s="37" customFormat="1" ht="12" customHeight="1">
      <c r="A2" s="50"/>
      <c r="B2" s="50"/>
      <c r="C2" s="50"/>
      <c r="D2" s="50"/>
      <c r="E2" s="56"/>
      <c r="F2" s="57"/>
      <c r="G2" s="58"/>
      <c r="H2" s="59"/>
      <c r="I2" s="57"/>
    </row>
    <row r="3" spans="1:25" ht="64.5">
      <c r="E3" s="60" t="s">
        <v>46</v>
      </c>
      <c r="F3" s="61" t="s">
        <v>56</v>
      </c>
      <c r="G3" s="61" t="s">
        <v>0</v>
      </c>
      <c r="H3" s="62">
        <v>3.4464000000000001</v>
      </c>
      <c r="I3" s="62">
        <f>H3/($Y$10*$Y$5)</f>
        <v>1.7232000000000001E-6</v>
      </c>
      <c r="K3" s="14"/>
      <c r="L3" s="8" t="s">
        <v>30</v>
      </c>
      <c r="M3" s="8" t="s">
        <v>31</v>
      </c>
      <c r="N3" s="8" t="s">
        <v>32</v>
      </c>
      <c r="O3" s="8" t="s">
        <v>33</v>
      </c>
    </row>
    <row r="4" spans="1:25" ht="30">
      <c r="E4" s="60"/>
      <c r="F4" s="62"/>
      <c r="G4" s="62"/>
      <c r="H4" s="62"/>
      <c r="I4" s="62"/>
      <c r="K4" s="21" t="s">
        <v>34</v>
      </c>
      <c r="L4" s="18">
        <f>I3</f>
        <v>1.7232000000000001E-6</v>
      </c>
      <c r="M4" s="15" t="s">
        <v>27</v>
      </c>
      <c r="N4" s="19" t="str">
        <f>IF(Dashboard!$H$4="Metric Tons", (1/$G$128)*M4, M4)</f>
        <v>-</v>
      </c>
      <c r="O4" s="15" t="s">
        <v>27</v>
      </c>
      <c r="X4" s="27" t="s">
        <v>18</v>
      </c>
      <c r="Y4" s="28"/>
    </row>
    <row r="5" spans="1:25">
      <c r="E5" s="60"/>
      <c r="F5" s="62"/>
      <c r="G5" s="62"/>
      <c r="H5" s="62"/>
      <c r="I5" s="62"/>
      <c r="K5" s="11" t="s">
        <v>25</v>
      </c>
      <c r="L5" s="15" t="s">
        <v>27</v>
      </c>
      <c r="M5" s="10">
        <f>IF(Dashboard!$C$8="tons", L4, 0)</f>
        <v>0</v>
      </c>
      <c r="N5" s="10">
        <f>M8</f>
        <v>3.4464000000000001E-3</v>
      </c>
      <c r="O5" s="15" t="s">
        <v>27</v>
      </c>
      <c r="X5" s="7" t="s">
        <v>9</v>
      </c>
      <c r="Y5" s="5">
        <v>1000</v>
      </c>
    </row>
    <row r="6" spans="1:25">
      <c r="E6" s="60"/>
      <c r="F6" s="62"/>
      <c r="G6" s="62"/>
      <c r="H6" s="62"/>
      <c r="I6" s="62"/>
      <c r="K6" s="11" t="s">
        <v>26</v>
      </c>
      <c r="L6" s="15" t="s">
        <v>27</v>
      </c>
      <c r="M6" s="10">
        <f>IF(Dashboard!$C$8="Metric Tons", (L4/$T$128), 0)</f>
        <v>0</v>
      </c>
      <c r="N6" s="16">
        <f>M8*1000</f>
        <v>3.4464000000000001</v>
      </c>
      <c r="O6" s="15" t="s">
        <v>27</v>
      </c>
      <c r="X6" s="7" t="s">
        <v>10</v>
      </c>
      <c r="Y6" s="10">
        <v>1</v>
      </c>
    </row>
    <row r="7" spans="1:25">
      <c r="E7" s="60"/>
      <c r="F7" s="62"/>
      <c r="G7" s="61"/>
      <c r="H7" s="62"/>
      <c r="I7" s="62"/>
      <c r="K7" s="11" t="s">
        <v>22</v>
      </c>
      <c r="L7" s="15" t="s">
        <v>27</v>
      </c>
      <c r="M7" s="11">
        <f>IF(Dashboard!$C$8="Pounds", (L4*$Y$10), 0)</f>
        <v>3.4464000000000001E-3</v>
      </c>
      <c r="N7" s="15" t="s">
        <v>27</v>
      </c>
      <c r="O7" s="15" t="s">
        <v>27</v>
      </c>
      <c r="X7" s="20"/>
      <c r="Y7" s="12"/>
    </row>
    <row r="8" spans="1:25">
      <c r="E8" s="60"/>
      <c r="F8" s="62"/>
      <c r="G8" s="62"/>
      <c r="H8" s="62"/>
      <c r="I8" s="62"/>
      <c r="K8" s="11" t="s">
        <v>23</v>
      </c>
      <c r="L8" s="15" t="s">
        <v>27</v>
      </c>
      <c r="M8" s="10">
        <f>SUM(M5:M7)</f>
        <v>3.4464000000000001E-3</v>
      </c>
      <c r="N8" s="17">
        <f>IF(Dashboard!$G$4="kWh", N5, N6)</f>
        <v>3.4464000000000001</v>
      </c>
      <c r="O8" s="17">
        <f>N8*Dashboard!$C$4</f>
        <v>3.4464000000000001</v>
      </c>
      <c r="X8" s="7" t="s">
        <v>8</v>
      </c>
      <c r="Y8" s="11">
        <v>1.1023113099999999</v>
      </c>
    </row>
    <row r="9" spans="1:25">
      <c r="E9" s="60"/>
      <c r="F9" s="62"/>
      <c r="G9" s="62"/>
      <c r="H9" s="62"/>
      <c r="I9" s="62"/>
      <c r="X9" s="7" t="s">
        <v>11</v>
      </c>
      <c r="Y9" s="10">
        <v>1</v>
      </c>
    </row>
    <row r="10" spans="1:25" ht="64.5">
      <c r="E10" s="60"/>
      <c r="F10" s="61" t="s">
        <v>56</v>
      </c>
      <c r="G10" s="61" t="s">
        <v>57</v>
      </c>
      <c r="H10" s="62">
        <v>3.6537999999999999</v>
      </c>
      <c r="I10" s="62">
        <f>H10/($Y$10*$Y$5)</f>
        <v>1.8269E-6</v>
      </c>
      <c r="K10" s="14"/>
      <c r="L10" s="8" t="s">
        <v>30</v>
      </c>
      <c r="M10" s="8" t="s">
        <v>31</v>
      </c>
      <c r="N10" s="8" t="s">
        <v>32</v>
      </c>
      <c r="O10" s="8" t="s">
        <v>33</v>
      </c>
      <c r="X10" s="7" t="s">
        <v>24</v>
      </c>
      <c r="Y10" s="10">
        <v>2000</v>
      </c>
    </row>
    <row r="11" spans="1:25" ht="30">
      <c r="E11" s="60"/>
      <c r="F11" s="62"/>
      <c r="G11" s="62"/>
      <c r="H11" s="62"/>
      <c r="I11" s="62"/>
      <c r="K11" s="21" t="s">
        <v>34</v>
      </c>
      <c r="L11" s="18">
        <f>I10</f>
        <v>1.8269E-6</v>
      </c>
      <c r="M11" s="15" t="s">
        <v>27</v>
      </c>
      <c r="N11" s="19" t="str">
        <f>IF(Dashboard!$H$4="Metric Tons", (1/$G$128)*M11, M11)</f>
        <v>-</v>
      </c>
      <c r="O11" s="15" t="s">
        <v>27</v>
      </c>
    </row>
    <row r="12" spans="1:25">
      <c r="E12" s="60"/>
      <c r="F12" s="62"/>
      <c r="G12" s="62"/>
      <c r="H12" s="62"/>
      <c r="I12" s="62"/>
      <c r="K12" s="11" t="s">
        <v>25</v>
      </c>
      <c r="L12" s="15" t="s">
        <v>27</v>
      </c>
      <c r="M12" s="10">
        <f>IF(Dashboard!$C$8="tons", L11, 0)</f>
        <v>0</v>
      </c>
      <c r="N12" s="10">
        <f>M15</f>
        <v>3.6538E-3</v>
      </c>
      <c r="O12" s="15" t="s">
        <v>27</v>
      </c>
    </row>
    <row r="13" spans="1:25">
      <c r="E13" s="60"/>
      <c r="F13" s="61"/>
      <c r="G13" s="61"/>
      <c r="H13" s="62"/>
      <c r="I13" s="62"/>
      <c r="K13" s="11" t="s">
        <v>26</v>
      </c>
      <c r="L13" s="15" t="s">
        <v>27</v>
      </c>
      <c r="M13" s="10">
        <f>IF(Dashboard!$C$8="Metric Tons", (L11/$T$128), 0)</f>
        <v>0</v>
      </c>
      <c r="N13" s="16">
        <f>M15*1000</f>
        <v>3.6537999999999999</v>
      </c>
      <c r="O13" s="15" t="s">
        <v>27</v>
      </c>
    </row>
    <row r="14" spans="1:25">
      <c r="E14" s="60"/>
      <c r="F14" s="61"/>
      <c r="G14" s="61"/>
      <c r="H14" s="61"/>
      <c r="I14" s="62"/>
      <c r="K14" s="11" t="s">
        <v>22</v>
      </c>
      <c r="L14" s="15" t="s">
        <v>27</v>
      </c>
      <c r="M14" s="11">
        <f>IF(Dashboard!$C$8="Pounds", (L11*$Y$10), 0)</f>
        <v>3.6538E-3</v>
      </c>
      <c r="N14" s="15" t="s">
        <v>27</v>
      </c>
      <c r="O14" s="15" t="s">
        <v>27</v>
      </c>
    </row>
    <row r="15" spans="1:25">
      <c r="E15" s="60"/>
      <c r="F15" s="62"/>
      <c r="G15" s="61"/>
      <c r="H15" s="62"/>
      <c r="I15" s="62"/>
      <c r="K15" s="11" t="s">
        <v>23</v>
      </c>
      <c r="L15" s="15" t="s">
        <v>27</v>
      </c>
      <c r="M15" s="10">
        <f>SUM(M12:M14)</f>
        <v>3.6538E-3</v>
      </c>
      <c r="N15" s="17">
        <f>IF(Dashboard!$G$4="kWh", N12, N13)</f>
        <v>3.6537999999999999</v>
      </c>
      <c r="O15" s="17">
        <f>N15*Dashboard!$C$4</f>
        <v>3.6537999999999999</v>
      </c>
    </row>
    <row r="16" spans="1:25">
      <c r="E16" s="60"/>
      <c r="F16" s="62"/>
      <c r="G16" s="61"/>
      <c r="H16" s="61"/>
      <c r="I16" s="62"/>
    </row>
    <row r="17" spans="5:15" ht="64.5">
      <c r="E17" s="60"/>
      <c r="F17" s="61" t="s">
        <v>44</v>
      </c>
      <c r="G17" s="61" t="s">
        <v>57</v>
      </c>
      <c r="H17" s="61">
        <v>2432.3000000000002</v>
      </c>
      <c r="I17" s="62">
        <f>H17/($Y$10*$Y$5)</f>
        <v>1.21615E-3</v>
      </c>
      <c r="K17" s="14"/>
      <c r="L17" s="8" t="s">
        <v>30</v>
      </c>
      <c r="M17" s="8" t="s">
        <v>31</v>
      </c>
      <c r="N17" s="8" t="s">
        <v>32</v>
      </c>
      <c r="O17" s="8" t="s">
        <v>33</v>
      </c>
    </row>
    <row r="18" spans="5:15" ht="30">
      <c r="E18" s="60"/>
      <c r="F18" s="62"/>
      <c r="G18" s="62"/>
      <c r="H18" s="62"/>
      <c r="I18" s="62"/>
      <c r="K18" s="21" t="s">
        <v>34</v>
      </c>
      <c r="L18" s="18">
        <f>I17</f>
        <v>1.21615E-3</v>
      </c>
      <c r="M18" s="15" t="s">
        <v>27</v>
      </c>
      <c r="N18" s="19" t="str">
        <f>IF(Dashboard!$H$4="Metric Tons", (1/$G$128)*M18, M18)</f>
        <v>-</v>
      </c>
      <c r="O18" s="15" t="s">
        <v>27</v>
      </c>
    </row>
    <row r="19" spans="5:15">
      <c r="E19" s="60"/>
      <c r="F19" s="62"/>
      <c r="G19" s="62"/>
      <c r="H19" s="62"/>
      <c r="I19" s="62"/>
      <c r="K19" s="11" t="s">
        <v>25</v>
      </c>
      <c r="L19" s="15" t="s">
        <v>27</v>
      </c>
      <c r="M19" s="10">
        <f>IF(Dashboard!$C$8="tons", L18, 0)</f>
        <v>0</v>
      </c>
      <c r="N19" s="10">
        <f>M22</f>
        <v>2.4323000000000001</v>
      </c>
      <c r="O19" s="15" t="s">
        <v>27</v>
      </c>
    </row>
    <row r="20" spans="5:15">
      <c r="E20" s="60"/>
      <c r="F20" s="62"/>
      <c r="G20" s="61"/>
      <c r="H20" s="61"/>
      <c r="I20" s="62"/>
      <c r="K20" s="11" t="s">
        <v>26</v>
      </c>
      <c r="L20" s="15" t="s">
        <v>27</v>
      </c>
      <c r="M20" s="10">
        <f>IF(Dashboard!$C$8="Metric Tons", (L18/$T$128), 0)</f>
        <v>0</v>
      </c>
      <c r="N20" s="16">
        <f>M22*1000</f>
        <v>2432.3000000000002</v>
      </c>
      <c r="O20" s="15" t="s">
        <v>27</v>
      </c>
    </row>
    <row r="21" spans="5:15">
      <c r="E21" s="60"/>
      <c r="F21" s="62"/>
      <c r="G21" s="61"/>
      <c r="H21" s="61"/>
      <c r="I21" s="62"/>
      <c r="K21" s="11" t="s">
        <v>22</v>
      </c>
      <c r="L21" s="15" t="s">
        <v>27</v>
      </c>
      <c r="M21" s="11">
        <f>IF(Dashboard!$C$8="Pounds", (L18*$Y$10), 0)</f>
        <v>2.4323000000000001</v>
      </c>
      <c r="N21" s="15" t="s">
        <v>27</v>
      </c>
      <c r="O21" s="15" t="s">
        <v>27</v>
      </c>
    </row>
    <row r="22" spans="5:15">
      <c r="E22" s="60"/>
      <c r="F22" s="62"/>
      <c r="G22" s="61"/>
      <c r="H22" s="61"/>
      <c r="I22" s="62"/>
      <c r="K22" s="11" t="s">
        <v>23</v>
      </c>
      <c r="L22" s="15" t="s">
        <v>27</v>
      </c>
      <c r="M22" s="10">
        <f>SUM(M19:M21)</f>
        <v>2.4323000000000001</v>
      </c>
      <c r="N22" s="17">
        <f>IF(Dashboard!$G$4="kWh", N19, N20)</f>
        <v>2432.3000000000002</v>
      </c>
      <c r="O22" s="17">
        <f>N22*Dashboard!$C$4</f>
        <v>2432.3000000000002</v>
      </c>
    </row>
    <row r="23" spans="5:15">
      <c r="E23" s="60"/>
      <c r="F23" s="62"/>
      <c r="G23" s="62"/>
      <c r="H23" s="61"/>
      <c r="I23" s="62"/>
    </row>
    <row r="24" spans="5:15" ht="64.5">
      <c r="E24" s="60"/>
      <c r="F24" s="61" t="s">
        <v>54</v>
      </c>
      <c r="G24" s="61" t="s">
        <v>57</v>
      </c>
      <c r="H24" s="61">
        <v>8.09</v>
      </c>
      <c r="I24" s="62">
        <f>H24/($Y$10*$Y$5)</f>
        <v>4.0450000000000002E-6</v>
      </c>
      <c r="K24" s="14"/>
      <c r="L24" s="8" t="s">
        <v>30</v>
      </c>
      <c r="M24" s="8" t="s">
        <v>31</v>
      </c>
      <c r="N24" s="8" t="s">
        <v>32</v>
      </c>
      <c r="O24" s="8" t="s">
        <v>33</v>
      </c>
    </row>
    <row r="25" spans="5:15" ht="30">
      <c r="E25" s="60"/>
      <c r="F25" s="62"/>
      <c r="G25" s="62"/>
      <c r="H25" s="62"/>
      <c r="I25" s="62"/>
      <c r="K25" s="21" t="s">
        <v>34</v>
      </c>
      <c r="L25" s="18">
        <f>I24</f>
        <v>4.0450000000000002E-6</v>
      </c>
      <c r="M25" s="15" t="s">
        <v>27</v>
      </c>
      <c r="N25" s="19" t="str">
        <f>IF(Dashboard!$H$4="Metric Tons", (1/$G$128)*M25, M25)</f>
        <v>-</v>
      </c>
      <c r="O25" s="15" t="s">
        <v>27</v>
      </c>
    </row>
    <row r="26" spans="5:15">
      <c r="E26" s="60"/>
      <c r="F26" s="62"/>
      <c r="G26" s="62"/>
      <c r="H26" s="62"/>
      <c r="I26" s="62"/>
      <c r="K26" s="11" t="s">
        <v>25</v>
      </c>
      <c r="L26" s="15" t="s">
        <v>27</v>
      </c>
      <c r="M26" s="10">
        <f>IF(Dashboard!$C$8="tons", L25, 0)</f>
        <v>0</v>
      </c>
      <c r="N26" s="10">
        <f>M29</f>
        <v>8.09E-3</v>
      </c>
      <c r="O26" s="15" t="s">
        <v>27</v>
      </c>
    </row>
    <row r="27" spans="5:15">
      <c r="E27" s="60"/>
      <c r="F27" s="62"/>
      <c r="G27" s="62"/>
      <c r="H27" s="62"/>
      <c r="I27" s="62"/>
      <c r="K27" s="11" t="s">
        <v>26</v>
      </c>
      <c r="L27" s="15" t="s">
        <v>27</v>
      </c>
      <c r="M27" s="10">
        <f>IF(Dashboard!$C$8="Metric Tons", (L25/$T$128), 0)</f>
        <v>0</v>
      </c>
      <c r="N27" s="16">
        <f>M29*1000</f>
        <v>8.09</v>
      </c>
      <c r="O27" s="15" t="s">
        <v>27</v>
      </c>
    </row>
    <row r="28" spans="5:15">
      <c r="E28" s="60"/>
      <c r="F28" s="62"/>
      <c r="G28" s="62"/>
      <c r="H28" s="62"/>
      <c r="I28" s="62"/>
      <c r="K28" s="11" t="s">
        <v>22</v>
      </c>
      <c r="L28" s="15" t="s">
        <v>27</v>
      </c>
      <c r="M28" s="11">
        <f>IF(Dashboard!$C$8="Pounds", (L25*$Y$10), 0)</f>
        <v>8.09E-3</v>
      </c>
      <c r="N28" s="15" t="s">
        <v>27</v>
      </c>
      <c r="O28" s="15" t="s">
        <v>27</v>
      </c>
    </row>
    <row r="29" spans="5:15">
      <c r="E29" s="60"/>
      <c r="F29" s="62"/>
      <c r="G29" s="62"/>
      <c r="H29" s="62"/>
      <c r="I29" s="62"/>
      <c r="K29" s="11" t="s">
        <v>23</v>
      </c>
      <c r="L29" s="15" t="s">
        <v>27</v>
      </c>
      <c r="M29" s="10">
        <f>SUM(M26:M28)</f>
        <v>8.09E-3</v>
      </c>
      <c r="N29" s="17">
        <f>IF(Dashboard!$G$4="kWh", N26, N27)</f>
        <v>8.09</v>
      </c>
      <c r="O29" s="17">
        <f>N29*Dashboard!$C$4</f>
        <v>8.09</v>
      </c>
    </row>
    <row r="30" spans="5:15">
      <c r="E30" s="60"/>
      <c r="F30" s="62"/>
      <c r="G30" s="62"/>
      <c r="H30" s="62"/>
      <c r="I30" s="62"/>
    </row>
    <row r="31" spans="5:15">
      <c r="E31" s="60" t="s">
        <v>50</v>
      </c>
      <c r="F31" s="61" t="s">
        <v>56</v>
      </c>
      <c r="G31" s="61" t="s">
        <v>0</v>
      </c>
      <c r="H31" s="62">
        <v>1.8401000000000001</v>
      </c>
      <c r="I31" s="62">
        <f>H31/($Y$10*$Y$5)</f>
        <v>9.2004999999999998E-7</v>
      </c>
    </row>
    <row r="32" spans="5:15" ht="64.5">
      <c r="E32" s="60"/>
      <c r="F32" s="62"/>
      <c r="G32" s="62"/>
      <c r="H32" s="62"/>
      <c r="I32" s="62"/>
      <c r="K32" s="14"/>
      <c r="L32" s="8" t="s">
        <v>30</v>
      </c>
      <c r="M32" s="8" t="s">
        <v>31</v>
      </c>
      <c r="N32" s="8" t="s">
        <v>32</v>
      </c>
      <c r="O32" s="8" t="s">
        <v>33</v>
      </c>
    </row>
    <row r="33" spans="5:15" ht="30">
      <c r="E33" s="60"/>
      <c r="F33" s="62"/>
      <c r="G33" s="62"/>
      <c r="H33" s="62"/>
      <c r="I33" s="62"/>
      <c r="K33" s="21" t="s">
        <v>34</v>
      </c>
      <c r="L33" s="18">
        <f>I31</f>
        <v>9.2004999999999998E-7</v>
      </c>
      <c r="M33" s="15" t="s">
        <v>27</v>
      </c>
      <c r="N33" s="19" t="str">
        <f>IF(Dashboard!$H$4="Metric Tons", (1/$G$128)*M33, M33)</f>
        <v>-</v>
      </c>
      <c r="O33" s="15" t="s">
        <v>27</v>
      </c>
    </row>
    <row r="34" spans="5:15">
      <c r="E34" s="60"/>
      <c r="F34" s="62"/>
      <c r="G34" s="62"/>
      <c r="H34" s="62"/>
      <c r="I34" s="62"/>
      <c r="K34" s="11" t="s">
        <v>25</v>
      </c>
      <c r="L34" s="15" t="s">
        <v>27</v>
      </c>
      <c r="M34" s="10">
        <f>IF(Dashboard!$C$8="tons", L33, 0)</f>
        <v>0</v>
      </c>
      <c r="N34" s="10">
        <f>M37</f>
        <v>1.8400999999999999E-3</v>
      </c>
      <c r="O34" s="15" t="s">
        <v>27</v>
      </c>
    </row>
    <row r="35" spans="5:15">
      <c r="E35" s="60"/>
      <c r="F35" s="62"/>
      <c r="G35" s="61"/>
      <c r="H35" s="62"/>
      <c r="I35" s="62"/>
      <c r="K35" s="11" t="s">
        <v>26</v>
      </c>
      <c r="L35" s="15" t="s">
        <v>27</v>
      </c>
      <c r="M35" s="10">
        <f>IF(Dashboard!$C$8="Metric Tons", (L33/$T$128), 0)</f>
        <v>0</v>
      </c>
      <c r="N35" s="16">
        <f>M37*1000</f>
        <v>1.8400999999999998</v>
      </c>
      <c r="O35" s="15" t="s">
        <v>27</v>
      </c>
    </row>
    <row r="36" spans="5:15">
      <c r="E36" s="60"/>
      <c r="F36" s="62"/>
      <c r="G36" s="62"/>
      <c r="H36" s="62"/>
      <c r="I36" s="62"/>
      <c r="K36" s="11" t="s">
        <v>22</v>
      </c>
      <c r="L36" s="15" t="s">
        <v>27</v>
      </c>
      <c r="M36" s="11">
        <f>IF(Dashboard!$C$8="Pounds", (L33*$Y$10), 0)</f>
        <v>1.8400999999999999E-3</v>
      </c>
      <c r="N36" s="15" t="s">
        <v>27</v>
      </c>
      <c r="O36" s="15" t="s">
        <v>27</v>
      </c>
    </row>
    <row r="37" spans="5:15">
      <c r="E37" s="60"/>
      <c r="F37" s="62"/>
      <c r="G37" s="62"/>
      <c r="H37" s="62"/>
      <c r="I37" s="62"/>
      <c r="K37" s="11" t="s">
        <v>23</v>
      </c>
      <c r="L37" s="15" t="s">
        <v>27</v>
      </c>
      <c r="M37" s="10">
        <f>SUM(M34:M36)</f>
        <v>1.8400999999999999E-3</v>
      </c>
      <c r="N37" s="17">
        <f>IF(Dashboard!$G$4="kWh", N34, N35)</f>
        <v>1.8400999999999998</v>
      </c>
      <c r="O37" s="17">
        <f>N37*Dashboard!$C$4</f>
        <v>1.8400999999999998</v>
      </c>
    </row>
    <row r="38" spans="5:15">
      <c r="E38" s="60"/>
      <c r="F38" s="61" t="s">
        <v>56</v>
      </c>
      <c r="G38" s="61" t="s">
        <v>57</v>
      </c>
      <c r="H38" s="62">
        <v>2.4622000000000002</v>
      </c>
      <c r="I38" s="62">
        <f>H38/($Y$10*$Y$5)</f>
        <v>1.2311000000000002E-6</v>
      </c>
    </row>
    <row r="39" spans="5:15" ht="64.5">
      <c r="E39" s="60"/>
      <c r="F39" s="62"/>
      <c r="G39" s="62"/>
      <c r="H39" s="62"/>
      <c r="I39" s="62"/>
      <c r="K39" s="14"/>
      <c r="L39" s="8" t="s">
        <v>30</v>
      </c>
      <c r="M39" s="8" t="s">
        <v>31</v>
      </c>
      <c r="N39" s="8" t="s">
        <v>32</v>
      </c>
      <c r="O39" s="8" t="s">
        <v>33</v>
      </c>
    </row>
    <row r="40" spans="5:15" ht="30">
      <c r="E40" s="60"/>
      <c r="F40" s="62"/>
      <c r="G40" s="62"/>
      <c r="H40" s="62"/>
      <c r="I40" s="62"/>
      <c r="K40" s="21" t="s">
        <v>34</v>
      </c>
      <c r="L40" s="18">
        <f>I38</f>
        <v>1.2311000000000002E-6</v>
      </c>
      <c r="M40" s="15" t="s">
        <v>27</v>
      </c>
      <c r="N40" s="19" t="str">
        <f>IF(Dashboard!$H$4="Metric Tons", (1/$G$128)*M40, M40)</f>
        <v>-</v>
      </c>
      <c r="O40" s="15" t="s">
        <v>27</v>
      </c>
    </row>
    <row r="41" spans="5:15">
      <c r="E41" s="60"/>
      <c r="F41" s="61"/>
      <c r="G41" s="61"/>
      <c r="H41" s="62"/>
      <c r="I41" s="62"/>
      <c r="K41" s="11" t="s">
        <v>25</v>
      </c>
      <c r="L41" s="15" t="s">
        <v>27</v>
      </c>
      <c r="M41" s="10">
        <f>IF(Dashboard!$C$8="tons", L40, 0)</f>
        <v>0</v>
      </c>
      <c r="N41" s="10">
        <f>M44</f>
        <v>2.4622000000000003E-3</v>
      </c>
      <c r="O41" s="15" t="s">
        <v>27</v>
      </c>
    </row>
    <row r="42" spans="5:15">
      <c r="E42" s="60"/>
      <c r="F42" s="61"/>
      <c r="G42" s="61"/>
      <c r="H42" s="61"/>
      <c r="I42" s="62"/>
      <c r="K42" s="11" t="s">
        <v>26</v>
      </c>
      <c r="L42" s="15" t="s">
        <v>27</v>
      </c>
      <c r="M42" s="10">
        <f>IF(Dashboard!$C$8="Metric Tons", (L40/$T$128), 0)</f>
        <v>0</v>
      </c>
      <c r="N42" s="16">
        <f>M44*1000</f>
        <v>2.4622000000000002</v>
      </c>
      <c r="O42" s="15" t="s">
        <v>27</v>
      </c>
    </row>
    <row r="43" spans="5:15">
      <c r="E43" s="60"/>
      <c r="F43" s="62"/>
      <c r="G43" s="61"/>
      <c r="H43" s="62"/>
      <c r="I43" s="62"/>
      <c r="K43" s="11" t="s">
        <v>22</v>
      </c>
      <c r="L43" s="15" t="s">
        <v>27</v>
      </c>
      <c r="M43" s="11">
        <f>IF(Dashboard!$C$8="Pounds", (L40*$Y$10), 0)</f>
        <v>2.4622000000000003E-3</v>
      </c>
      <c r="N43" s="15" t="s">
        <v>27</v>
      </c>
      <c r="O43" s="15" t="s">
        <v>27</v>
      </c>
    </row>
    <row r="44" spans="5:15">
      <c r="E44" s="60"/>
      <c r="F44" s="62"/>
      <c r="G44" s="61"/>
      <c r="H44" s="61"/>
      <c r="I44" s="62"/>
      <c r="K44" s="11" t="s">
        <v>23</v>
      </c>
      <c r="L44" s="15" t="s">
        <v>27</v>
      </c>
      <c r="M44" s="10">
        <f>SUM(M41:M43)</f>
        <v>2.4622000000000003E-3</v>
      </c>
      <c r="N44" s="17">
        <f>IF(Dashboard!$G$4="kWh", N41, N42)</f>
        <v>2.4622000000000002</v>
      </c>
      <c r="O44" s="17">
        <f>N44*Dashboard!$C$4</f>
        <v>2.4622000000000002</v>
      </c>
    </row>
    <row r="45" spans="5:15">
      <c r="E45" s="60"/>
      <c r="F45" s="61" t="s">
        <v>44</v>
      </c>
      <c r="G45" s="61" t="s">
        <v>57</v>
      </c>
      <c r="H45" s="61">
        <v>1352.27</v>
      </c>
      <c r="I45" s="62">
        <f>H45/($Y$10*$Y$5)</f>
        <v>6.7613500000000002E-4</v>
      </c>
    </row>
    <row r="46" spans="5:15" ht="64.5">
      <c r="E46" s="60"/>
      <c r="F46" s="62"/>
      <c r="G46" s="62"/>
      <c r="H46" s="62"/>
      <c r="I46" s="62"/>
      <c r="K46" s="14"/>
      <c r="L46" s="8" t="s">
        <v>30</v>
      </c>
      <c r="M46" s="8" t="s">
        <v>31</v>
      </c>
      <c r="N46" s="8" t="s">
        <v>32</v>
      </c>
      <c r="O46" s="8" t="s">
        <v>33</v>
      </c>
    </row>
    <row r="47" spans="5:15" ht="30">
      <c r="E47" s="60"/>
      <c r="F47" s="62"/>
      <c r="G47" s="62"/>
      <c r="H47" s="62"/>
      <c r="I47" s="62"/>
      <c r="K47" s="21" t="s">
        <v>34</v>
      </c>
      <c r="L47" s="18">
        <f>I45</f>
        <v>6.7613500000000002E-4</v>
      </c>
      <c r="M47" s="15" t="s">
        <v>27</v>
      </c>
      <c r="N47" s="19" t="str">
        <f>IF(Dashboard!$H$4="Metric Tons", (1/$G$128)*M47, M47)</f>
        <v>-</v>
      </c>
      <c r="O47" s="15" t="s">
        <v>27</v>
      </c>
    </row>
    <row r="48" spans="5:15">
      <c r="E48" s="60"/>
      <c r="F48" s="62"/>
      <c r="G48" s="61"/>
      <c r="H48" s="61"/>
      <c r="I48" s="62"/>
      <c r="K48" s="11" t="s">
        <v>25</v>
      </c>
      <c r="L48" s="15" t="s">
        <v>27</v>
      </c>
      <c r="M48" s="10">
        <f>IF(Dashboard!$C$8="tons", L47, 0)</f>
        <v>0</v>
      </c>
      <c r="N48" s="10">
        <f>M51</f>
        <v>1.3522700000000001</v>
      </c>
      <c r="O48" s="15" t="s">
        <v>27</v>
      </c>
    </row>
    <row r="49" spans="5:15">
      <c r="E49" s="60"/>
      <c r="F49" s="62"/>
      <c r="G49" s="61"/>
      <c r="H49" s="61"/>
      <c r="I49" s="62"/>
      <c r="K49" s="11" t="s">
        <v>26</v>
      </c>
      <c r="L49" s="15" t="s">
        <v>27</v>
      </c>
      <c r="M49" s="10">
        <f>IF(Dashboard!$C$8="Metric Tons", (L47/$T$128), 0)</f>
        <v>0</v>
      </c>
      <c r="N49" s="16">
        <f>M51*1000</f>
        <v>1352.27</v>
      </c>
      <c r="O49" s="15" t="s">
        <v>27</v>
      </c>
    </row>
    <row r="50" spans="5:15">
      <c r="E50" s="60"/>
      <c r="F50" s="62"/>
      <c r="G50" s="61"/>
      <c r="H50" s="61"/>
      <c r="I50" s="62"/>
      <c r="K50" s="11" t="s">
        <v>22</v>
      </c>
      <c r="L50" s="15" t="s">
        <v>27</v>
      </c>
      <c r="M50" s="11">
        <f>IF(Dashboard!$C$8="Pounds", (L47*$Y$10), 0)</f>
        <v>1.3522700000000001</v>
      </c>
      <c r="N50" s="15" t="s">
        <v>27</v>
      </c>
      <c r="O50" s="15" t="s">
        <v>27</v>
      </c>
    </row>
    <row r="51" spans="5:15">
      <c r="E51" s="60"/>
      <c r="F51" s="62"/>
      <c r="G51" s="62"/>
      <c r="H51" s="61"/>
      <c r="I51" s="62"/>
      <c r="K51" s="11" t="s">
        <v>23</v>
      </c>
      <c r="L51" s="15" t="s">
        <v>27</v>
      </c>
      <c r="M51" s="10">
        <f>SUM(M48:M50)</f>
        <v>1.3522700000000001</v>
      </c>
      <c r="N51" s="17">
        <f>IF(Dashboard!$G$4="kWh", N48, N49)</f>
        <v>1352.27</v>
      </c>
      <c r="O51" s="17">
        <f>N51*Dashboard!$C$4</f>
        <v>1352.27</v>
      </c>
    </row>
    <row r="52" spans="5:15">
      <c r="E52" s="60"/>
      <c r="F52" s="61" t="s">
        <v>54</v>
      </c>
      <c r="G52" s="61" t="s">
        <v>57</v>
      </c>
      <c r="H52" s="61">
        <v>10.9375</v>
      </c>
      <c r="I52" s="62">
        <f>H52/($Y$10*$Y$5)</f>
        <v>5.4687499999999999E-6</v>
      </c>
    </row>
    <row r="53" spans="5:15" ht="64.5">
      <c r="E53" s="60"/>
      <c r="F53" s="62"/>
      <c r="G53" s="62"/>
      <c r="H53" s="62"/>
      <c r="I53" s="62"/>
      <c r="K53" s="14"/>
      <c r="L53" s="8" t="s">
        <v>30</v>
      </c>
      <c r="M53" s="8" t="s">
        <v>31</v>
      </c>
      <c r="N53" s="8" t="s">
        <v>32</v>
      </c>
      <c r="O53" s="8" t="s">
        <v>33</v>
      </c>
    </row>
    <row r="54" spans="5:15" ht="30">
      <c r="E54" s="60"/>
      <c r="F54" s="62"/>
      <c r="G54" s="62"/>
      <c r="H54" s="62"/>
      <c r="I54" s="62"/>
      <c r="K54" s="21" t="s">
        <v>34</v>
      </c>
      <c r="L54" s="18">
        <f>I52</f>
        <v>5.4687499999999999E-6</v>
      </c>
      <c r="M54" s="15" t="s">
        <v>27</v>
      </c>
      <c r="N54" s="19" t="str">
        <f>IF(Dashboard!$H$4="Metric Tons", (1/$G$128)*M54, M54)</f>
        <v>-</v>
      </c>
      <c r="O54" s="15" t="s">
        <v>27</v>
      </c>
    </row>
    <row r="55" spans="5:15">
      <c r="E55" s="60"/>
      <c r="F55" s="62"/>
      <c r="G55" s="62"/>
      <c r="H55" s="62"/>
      <c r="I55" s="62"/>
      <c r="K55" s="11" t="s">
        <v>25</v>
      </c>
      <c r="L55" s="15" t="s">
        <v>27</v>
      </c>
      <c r="M55" s="10">
        <f>IF(Dashboard!$C$8="tons", L54, 0)</f>
        <v>0</v>
      </c>
      <c r="N55" s="10">
        <f>M58</f>
        <v>1.0937499999999999E-2</v>
      </c>
      <c r="O55" s="15" t="s">
        <v>27</v>
      </c>
    </row>
    <row r="56" spans="5:15">
      <c r="E56" s="60"/>
      <c r="F56" s="62"/>
      <c r="G56" s="62"/>
      <c r="H56" s="62"/>
      <c r="I56" s="62"/>
      <c r="K56" s="11" t="s">
        <v>26</v>
      </c>
      <c r="L56" s="15" t="s">
        <v>27</v>
      </c>
      <c r="M56" s="10">
        <f>IF(Dashboard!$C$8="Metric Tons", (L54/$T$128), 0)</f>
        <v>0</v>
      </c>
      <c r="N56" s="16">
        <f>M58*1000</f>
        <v>10.9375</v>
      </c>
      <c r="O56" s="15" t="s">
        <v>27</v>
      </c>
    </row>
    <row r="57" spans="5:15">
      <c r="E57" s="60"/>
      <c r="F57" s="62"/>
      <c r="G57" s="62"/>
      <c r="H57" s="62"/>
      <c r="I57" s="62"/>
      <c r="K57" s="11" t="s">
        <v>22</v>
      </c>
      <c r="L57" s="15" t="s">
        <v>27</v>
      </c>
      <c r="M57" s="11">
        <f>IF(Dashboard!$C$8="Pounds", (L54*$Y$10), 0)</f>
        <v>1.0937499999999999E-2</v>
      </c>
      <c r="N57" s="15" t="s">
        <v>27</v>
      </c>
      <c r="O57" s="15" t="s">
        <v>27</v>
      </c>
    </row>
    <row r="58" spans="5:15">
      <c r="E58" s="60"/>
      <c r="F58" s="62"/>
      <c r="G58" s="62"/>
      <c r="H58" s="62"/>
      <c r="I58" s="62"/>
      <c r="K58" s="11" t="s">
        <v>23</v>
      </c>
      <c r="L58" s="15" t="s">
        <v>27</v>
      </c>
      <c r="M58" s="10">
        <f>SUM(M55:M57)</f>
        <v>1.0937499999999999E-2</v>
      </c>
      <c r="N58" s="17">
        <f>IF(Dashboard!$G$4="kWh", N55, N56)</f>
        <v>10.9375</v>
      </c>
      <c r="O58" s="17">
        <f>N58*Dashboard!$C$4</f>
        <v>10.9375</v>
      </c>
    </row>
    <row r="59" spans="5:15">
      <c r="E59" s="60" t="s">
        <v>51</v>
      </c>
      <c r="F59" s="61" t="s">
        <v>56</v>
      </c>
      <c r="G59" s="61" t="s">
        <v>0</v>
      </c>
      <c r="H59" s="62">
        <v>1.2728999999999999</v>
      </c>
      <c r="I59" s="62">
        <f>H59/($Y$10*$Y$5)</f>
        <v>6.3644999999999996E-7</v>
      </c>
    </row>
    <row r="60" spans="5:15" ht="64.5">
      <c r="E60" s="60"/>
      <c r="F60" s="62"/>
      <c r="G60" s="62"/>
      <c r="H60" s="62"/>
      <c r="I60" s="62"/>
      <c r="K60" s="14"/>
      <c r="L60" s="8" t="s">
        <v>30</v>
      </c>
      <c r="M60" s="8" t="s">
        <v>31</v>
      </c>
      <c r="N60" s="8" t="s">
        <v>32</v>
      </c>
      <c r="O60" s="8" t="s">
        <v>33</v>
      </c>
    </row>
    <row r="61" spans="5:15" ht="30">
      <c r="E61" s="60"/>
      <c r="F61" s="62"/>
      <c r="G61" s="62"/>
      <c r="H61" s="62"/>
      <c r="I61" s="62"/>
      <c r="K61" s="21" t="s">
        <v>34</v>
      </c>
      <c r="L61" s="18">
        <f>I59</f>
        <v>6.3644999999999996E-7</v>
      </c>
      <c r="M61" s="15" t="s">
        <v>27</v>
      </c>
      <c r="N61" s="19" t="str">
        <f>IF(Dashboard!$H$4="Metric Tons", (1/$G$128)*M61, M61)</f>
        <v>-</v>
      </c>
      <c r="O61" s="15" t="s">
        <v>27</v>
      </c>
    </row>
    <row r="62" spans="5:15">
      <c r="E62" s="60"/>
      <c r="F62" s="62"/>
      <c r="G62" s="62"/>
      <c r="H62" s="62"/>
      <c r="I62" s="62"/>
      <c r="K62" s="11" t="s">
        <v>25</v>
      </c>
      <c r="L62" s="15" t="s">
        <v>27</v>
      </c>
      <c r="M62" s="10">
        <f>IF(Dashboard!$C$8="tons", L61, 0)</f>
        <v>0</v>
      </c>
      <c r="N62" s="10">
        <f>M65</f>
        <v>1.2729E-3</v>
      </c>
      <c r="O62" s="15" t="s">
        <v>27</v>
      </c>
    </row>
    <row r="63" spans="5:15">
      <c r="E63" s="60"/>
      <c r="F63" s="62"/>
      <c r="G63" s="61"/>
      <c r="H63" s="62"/>
      <c r="I63" s="62"/>
      <c r="K63" s="11" t="s">
        <v>26</v>
      </c>
      <c r="L63" s="15" t="s">
        <v>27</v>
      </c>
      <c r="M63" s="10">
        <f>IF(Dashboard!$C$8="Metric Tons", (L61/$T$128), 0)</f>
        <v>0</v>
      </c>
      <c r="N63" s="16">
        <f>M65*1000</f>
        <v>1.2728999999999999</v>
      </c>
      <c r="O63" s="15" t="s">
        <v>27</v>
      </c>
    </row>
    <row r="64" spans="5:15">
      <c r="E64" s="60"/>
      <c r="F64" s="62"/>
      <c r="G64" s="62"/>
      <c r="H64" s="62"/>
      <c r="I64" s="62"/>
      <c r="K64" s="11" t="s">
        <v>22</v>
      </c>
      <c r="L64" s="15" t="s">
        <v>27</v>
      </c>
      <c r="M64" s="11">
        <f>IF(Dashboard!$C$8="Pounds", (L61*$Y$10), 0)</f>
        <v>1.2729E-3</v>
      </c>
      <c r="N64" s="15" t="s">
        <v>27</v>
      </c>
      <c r="O64" s="15" t="s">
        <v>27</v>
      </c>
    </row>
    <row r="65" spans="5:15">
      <c r="E65" s="60"/>
      <c r="F65" s="62"/>
      <c r="G65" s="62"/>
      <c r="H65" s="62"/>
      <c r="I65" s="62"/>
      <c r="K65" s="11" t="s">
        <v>23</v>
      </c>
      <c r="L65" s="15" t="s">
        <v>27</v>
      </c>
      <c r="M65" s="10">
        <f>SUM(M62:M64)</f>
        <v>1.2729E-3</v>
      </c>
      <c r="N65" s="17">
        <f>IF(Dashboard!$G$4="kWh", N62, N63)</f>
        <v>1.2728999999999999</v>
      </c>
      <c r="O65" s="17">
        <f>N65*Dashboard!$C$4</f>
        <v>1.2728999999999999</v>
      </c>
    </row>
    <row r="66" spans="5:15">
      <c r="E66" s="60"/>
      <c r="F66" s="61" t="s">
        <v>56</v>
      </c>
      <c r="G66" s="61" t="s">
        <v>57</v>
      </c>
      <c r="H66" s="62">
        <v>1.7889999999999999</v>
      </c>
      <c r="I66" s="62">
        <f>H66/($Y$10*$Y$5)</f>
        <v>8.9449999999999997E-7</v>
      </c>
    </row>
    <row r="67" spans="5:15" ht="64.5">
      <c r="E67" s="60"/>
      <c r="F67" s="62"/>
      <c r="G67" s="62"/>
      <c r="H67" s="62"/>
      <c r="I67" s="62"/>
      <c r="K67" s="14"/>
      <c r="L67" s="8" t="s">
        <v>30</v>
      </c>
      <c r="M67" s="8" t="s">
        <v>31</v>
      </c>
      <c r="N67" s="8" t="s">
        <v>32</v>
      </c>
      <c r="O67" s="8" t="s">
        <v>33</v>
      </c>
    </row>
    <row r="68" spans="5:15" ht="30">
      <c r="E68" s="60"/>
      <c r="F68" s="62"/>
      <c r="G68" s="62"/>
      <c r="H68" s="62"/>
      <c r="I68" s="62"/>
      <c r="K68" s="21" t="s">
        <v>34</v>
      </c>
      <c r="L68" s="18">
        <f>I66</f>
        <v>8.9449999999999997E-7</v>
      </c>
      <c r="M68" s="15" t="s">
        <v>27</v>
      </c>
      <c r="N68" s="19" t="str">
        <f>IF(Dashboard!$H$4="Metric Tons", (1/$G$128)*M68, M68)</f>
        <v>-</v>
      </c>
      <c r="O68" s="15" t="s">
        <v>27</v>
      </c>
    </row>
    <row r="69" spans="5:15">
      <c r="E69" s="60"/>
      <c r="F69" s="61"/>
      <c r="G69" s="61"/>
      <c r="H69" s="62"/>
      <c r="I69" s="62"/>
      <c r="K69" s="11" t="s">
        <v>25</v>
      </c>
      <c r="L69" s="15" t="s">
        <v>27</v>
      </c>
      <c r="M69" s="10">
        <f>IF(Dashboard!$C$8="tons", L68, 0)</f>
        <v>0</v>
      </c>
      <c r="N69" s="10">
        <f>M72</f>
        <v>1.789E-3</v>
      </c>
      <c r="O69" s="15" t="s">
        <v>27</v>
      </c>
    </row>
    <row r="70" spans="5:15">
      <c r="E70" s="60"/>
      <c r="F70" s="61"/>
      <c r="G70" s="61"/>
      <c r="H70" s="61"/>
      <c r="I70" s="62"/>
      <c r="K70" s="11" t="s">
        <v>26</v>
      </c>
      <c r="L70" s="15" t="s">
        <v>27</v>
      </c>
      <c r="M70" s="10">
        <f>IF(Dashboard!$C$8="Metric Tons", (L68/$T$128), 0)</f>
        <v>0</v>
      </c>
      <c r="N70" s="16">
        <f>M72*1000</f>
        <v>1.7889999999999999</v>
      </c>
      <c r="O70" s="15" t="s">
        <v>27</v>
      </c>
    </row>
    <row r="71" spans="5:15">
      <c r="E71" s="60"/>
      <c r="F71" s="62"/>
      <c r="G71" s="61"/>
      <c r="H71" s="62"/>
      <c r="I71" s="62"/>
      <c r="K71" s="11" t="s">
        <v>22</v>
      </c>
      <c r="L71" s="15" t="s">
        <v>27</v>
      </c>
      <c r="M71" s="11">
        <f>IF(Dashboard!$C$8="Pounds", (L68*$Y$10), 0)</f>
        <v>1.789E-3</v>
      </c>
      <c r="N71" s="15" t="s">
        <v>27</v>
      </c>
      <c r="O71" s="15" t="s">
        <v>27</v>
      </c>
    </row>
    <row r="72" spans="5:15">
      <c r="E72" s="60"/>
      <c r="F72" s="62"/>
      <c r="G72" s="61"/>
      <c r="H72" s="61"/>
      <c r="I72" s="62"/>
      <c r="K72" s="11" t="s">
        <v>23</v>
      </c>
      <c r="L72" s="15" t="s">
        <v>27</v>
      </c>
      <c r="M72" s="10">
        <f>SUM(M69:M71)</f>
        <v>1.789E-3</v>
      </c>
      <c r="N72" s="17">
        <f>IF(Dashboard!$G$4="kWh", N69, N70)</f>
        <v>1.7889999999999999</v>
      </c>
      <c r="O72" s="17">
        <f>N72*Dashboard!$C$4</f>
        <v>1.7889999999999999</v>
      </c>
    </row>
    <row r="73" spans="5:15">
      <c r="E73" s="60"/>
      <c r="F73" s="61" t="s">
        <v>44</v>
      </c>
      <c r="G73" s="61" t="s">
        <v>57</v>
      </c>
      <c r="H73" s="61">
        <v>1196.05</v>
      </c>
      <c r="I73" s="62">
        <f>H73/($Y$10*$Y$5)</f>
        <v>5.9802499999999997E-4</v>
      </c>
    </row>
    <row r="74" spans="5:15" ht="64.5">
      <c r="E74" s="60"/>
      <c r="F74" s="62"/>
      <c r="G74" s="62"/>
      <c r="H74" s="62"/>
      <c r="I74" s="62"/>
      <c r="K74" s="14"/>
      <c r="L74" s="8" t="s">
        <v>30</v>
      </c>
      <c r="M74" s="8" t="s">
        <v>31</v>
      </c>
      <c r="N74" s="8" t="s">
        <v>32</v>
      </c>
      <c r="O74" s="8" t="s">
        <v>33</v>
      </c>
    </row>
    <row r="75" spans="5:15" ht="30">
      <c r="E75" s="60"/>
      <c r="F75" s="62"/>
      <c r="G75" s="62"/>
      <c r="H75" s="62"/>
      <c r="I75" s="62"/>
      <c r="K75" s="21" t="s">
        <v>34</v>
      </c>
      <c r="L75" s="18">
        <f>I73</f>
        <v>5.9802499999999997E-4</v>
      </c>
      <c r="M75" s="15" t="s">
        <v>27</v>
      </c>
      <c r="N75" s="19" t="str">
        <f>IF(Dashboard!$H$4="Metric Tons", (1/$G$128)*M75, M75)</f>
        <v>-</v>
      </c>
      <c r="O75" s="15" t="s">
        <v>27</v>
      </c>
    </row>
    <row r="76" spans="5:15">
      <c r="E76" s="60"/>
      <c r="F76" s="62"/>
      <c r="G76" s="61"/>
      <c r="H76" s="61"/>
      <c r="I76" s="62"/>
      <c r="K76" s="11" t="s">
        <v>25</v>
      </c>
      <c r="L76" s="15" t="s">
        <v>27</v>
      </c>
      <c r="M76" s="10">
        <f>IF(Dashboard!$C$8="tons", L75, 0)</f>
        <v>0</v>
      </c>
      <c r="N76" s="10">
        <f>M79</f>
        <v>1.1960499999999998</v>
      </c>
      <c r="O76" s="15" t="s">
        <v>27</v>
      </c>
    </row>
    <row r="77" spans="5:15">
      <c r="E77" s="60"/>
      <c r="F77" s="62"/>
      <c r="G77" s="61"/>
      <c r="H77" s="61"/>
      <c r="I77" s="62"/>
      <c r="K77" s="11" t="s">
        <v>26</v>
      </c>
      <c r="L77" s="15" t="s">
        <v>27</v>
      </c>
      <c r="M77" s="10">
        <f>IF(Dashboard!$C$8="Metric Tons", (L75/$T$128), 0)</f>
        <v>0</v>
      </c>
      <c r="N77" s="16">
        <f>M79*1000</f>
        <v>1196.0499999999997</v>
      </c>
      <c r="O77" s="15" t="s">
        <v>27</v>
      </c>
    </row>
    <row r="78" spans="5:15">
      <c r="E78" s="60"/>
      <c r="F78" s="62"/>
      <c r="G78" s="61"/>
      <c r="H78" s="61"/>
      <c r="I78" s="62"/>
      <c r="K78" s="11" t="s">
        <v>22</v>
      </c>
      <c r="L78" s="15" t="s">
        <v>27</v>
      </c>
      <c r="M78" s="11">
        <f>IF(Dashboard!$C$8="Pounds", (L75*$Y$10), 0)</f>
        <v>1.1960499999999998</v>
      </c>
      <c r="N78" s="15" t="s">
        <v>27</v>
      </c>
      <c r="O78" s="15" t="s">
        <v>27</v>
      </c>
    </row>
    <row r="79" spans="5:15">
      <c r="E79" s="60"/>
      <c r="F79" s="62"/>
      <c r="G79" s="62"/>
      <c r="H79" s="61"/>
      <c r="I79" s="62"/>
      <c r="K79" s="11" t="s">
        <v>23</v>
      </c>
      <c r="L79" s="15" t="s">
        <v>27</v>
      </c>
      <c r="M79" s="10">
        <f>SUM(M76:M78)</f>
        <v>1.1960499999999998</v>
      </c>
      <c r="N79" s="17">
        <f>IF(Dashboard!$G$4="kWh", N76, N77)</f>
        <v>1196.0499999999997</v>
      </c>
      <c r="O79" s="17">
        <f>N79*Dashboard!$C$4</f>
        <v>1196.0499999999997</v>
      </c>
    </row>
    <row r="80" spans="5:15">
      <c r="E80" s="60"/>
      <c r="F80" s="61" t="s">
        <v>54</v>
      </c>
      <c r="G80" s="61" t="s">
        <v>57</v>
      </c>
      <c r="H80" s="61">
        <v>5.7634999999999996</v>
      </c>
      <c r="I80" s="62">
        <f>H80/($Y$10*$Y$5)</f>
        <v>2.88175E-6</v>
      </c>
    </row>
    <row r="81" spans="5:15" ht="64.5">
      <c r="E81" s="60"/>
      <c r="F81" s="62"/>
      <c r="G81" s="62"/>
      <c r="H81" s="62"/>
      <c r="I81" s="62"/>
      <c r="K81" s="14"/>
      <c r="L81" s="8" t="s">
        <v>30</v>
      </c>
      <c r="M81" s="8" t="s">
        <v>31</v>
      </c>
      <c r="N81" s="8" t="s">
        <v>32</v>
      </c>
      <c r="O81" s="8" t="s">
        <v>33</v>
      </c>
    </row>
    <row r="82" spans="5:15" ht="30">
      <c r="E82" s="60"/>
      <c r="F82" s="62"/>
      <c r="G82" s="62"/>
      <c r="H82" s="62"/>
      <c r="I82" s="62"/>
      <c r="K82" s="21" t="s">
        <v>34</v>
      </c>
      <c r="L82" s="18">
        <f>I80</f>
        <v>2.88175E-6</v>
      </c>
      <c r="M82" s="15" t="s">
        <v>27</v>
      </c>
      <c r="N82" s="19" t="str">
        <f>IF(Dashboard!$H$4="Metric Tons", (1/$G$128)*M82, M82)</f>
        <v>-</v>
      </c>
      <c r="O82" s="15" t="s">
        <v>27</v>
      </c>
    </row>
    <row r="83" spans="5:15">
      <c r="E83" s="60"/>
      <c r="F83" s="62"/>
      <c r="G83" s="62"/>
      <c r="H83" s="62"/>
      <c r="I83" s="62"/>
      <c r="K83" s="11" t="s">
        <v>25</v>
      </c>
      <c r="L83" s="15" t="s">
        <v>27</v>
      </c>
      <c r="M83" s="10">
        <f>IF(Dashboard!$C$8="tons", L82, 0)</f>
        <v>0</v>
      </c>
      <c r="N83" s="10">
        <f>M86</f>
        <v>5.7634999999999995E-3</v>
      </c>
      <c r="O83" s="15" t="s">
        <v>27</v>
      </c>
    </row>
    <row r="84" spans="5:15">
      <c r="E84" s="60"/>
      <c r="F84" s="62"/>
      <c r="G84" s="62"/>
      <c r="H84" s="62"/>
      <c r="I84" s="62"/>
      <c r="K84" s="11" t="s">
        <v>26</v>
      </c>
      <c r="L84" s="15" t="s">
        <v>27</v>
      </c>
      <c r="M84" s="10">
        <f>IF(Dashboard!$C$8="Metric Tons", (L82/$T$128), 0)</f>
        <v>0</v>
      </c>
      <c r="N84" s="16">
        <f>M86*1000</f>
        <v>5.7634999999999996</v>
      </c>
      <c r="O84" s="15" t="s">
        <v>27</v>
      </c>
    </row>
    <row r="85" spans="5:15">
      <c r="E85" s="60"/>
      <c r="F85" s="62"/>
      <c r="G85" s="62"/>
      <c r="H85" s="62"/>
      <c r="I85" s="62"/>
      <c r="K85" s="11" t="s">
        <v>22</v>
      </c>
      <c r="L85" s="15" t="s">
        <v>27</v>
      </c>
      <c r="M85" s="11">
        <f>IF(Dashboard!$C$8="Pounds", (L82*$Y$10), 0)</f>
        <v>5.7634999999999995E-3</v>
      </c>
      <c r="N85" s="15" t="s">
        <v>27</v>
      </c>
      <c r="O85" s="15" t="s">
        <v>27</v>
      </c>
    </row>
    <row r="86" spans="5:15">
      <c r="E86" s="60"/>
      <c r="F86" s="62"/>
      <c r="G86" s="62"/>
      <c r="H86" s="62"/>
      <c r="I86" s="62"/>
      <c r="K86" s="11" t="s">
        <v>23</v>
      </c>
      <c r="L86" s="15" t="s">
        <v>27</v>
      </c>
      <c r="M86" s="10">
        <f>SUM(M83:M85)</f>
        <v>5.7634999999999995E-3</v>
      </c>
      <c r="N86" s="17">
        <f>IF(Dashboard!$G$4="kWh", N83, N84)</f>
        <v>5.7634999999999996</v>
      </c>
      <c r="O86" s="17">
        <f>N86*Dashboard!$C$4</f>
        <v>5.7634999999999996</v>
      </c>
    </row>
    <row r="87" spans="5:15">
      <c r="E87" s="60" t="s">
        <v>62</v>
      </c>
      <c r="F87" s="61" t="s">
        <v>56</v>
      </c>
      <c r="G87" s="61" t="s">
        <v>0</v>
      </c>
      <c r="H87" s="62">
        <v>1.4179999999999999</v>
      </c>
      <c r="I87" s="62">
        <f>H87/($Y$10*$Y$5)</f>
        <v>7.0900000000000001E-7</v>
      </c>
    </row>
    <row r="88" spans="5:15" ht="64.5">
      <c r="E88" s="60"/>
      <c r="F88" s="62"/>
      <c r="G88" s="62"/>
      <c r="H88" s="62"/>
      <c r="I88" s="62"/>
      <c r="K88" s="14"/>
      <c r="L88" s="8" t="s">
        <v>30</v>
      </c>
      <c r="M88" s="8" t="s">
        <v>31</v>
      </c>
      <c r="N88" s="8" t="s">
        <v>32</v>
      </c>
      <c r="O88" s="8" t="s">
        <v>33</v>
      </c>
    </row>
    <row r="89" spans="5:15" ht="30">
      <c r="E89" s="60"/>
      <c r="F89" s="62"/>
      <c r="G89" s="62"/>
      <c r="H89" s="62"/>
      <c r="I89" s="62"/>
      <c r="K89" s="21" t="s">
        <v>34</v>
      </c>
      <c r="L89" s="18">
        <f>I87</f>
        <v>7.0900000000000001E-7</v>
      </c>
      <c r="M89" s="15" t="s">
        <v>27</v>
      </c>
      <c r="N89" s="19" t="str">
        <f>IF(Dashboard!$H$4="Metric Tons", (1/$G$128)*M89, M89)</f>
        <v>-</v>
      </c>
      <c r="O89" s="15" t="s">
        <v>27</v>
      </c>
    </row>
    <row r="90" spans="5:15">
      <c r="E90" s="60"/>
      <c r="F90" s="62"/>
      <c r="G90" s="62"/>
      <c r="H90" s="62"/>
      <c r="I90" s="62"/>
      <c r="K90" s="11" t="s">
        <v>25</v>
      </c>
      <c r="L90" s="15" t="s">
        <v>27</v>
      </c>
      <c r="M90" s="10">
        <f>IF(Dashboard!$C$8="tons", L89, 0)</f>
        <v>0</v>
      </c>
      <c r="N90" s="10">
        <f>M93</f>
        <v>1.418E-3</v>
      </c>
      <c r="O90" s="15" t="s">
        <v>27</v>
      </c>
    </row>
    <row r="91" spans="5:15">
      <c r="E91" s="60"/>
      <c r="F91" s="62"/>
      <c r="G91" s="61"/>
      <c r="H91" s="62"/>
      <c r="I91" s="62"/>
      <c r="K91" s="11" t="s">
        <v>26</v>
      </c>
      <c r="L91" s="15" t="s">
        <v>27</v>
      </c>
      <c r="M91" s="10">
        <f>IF(Dashboard!$C$8="Metric Tons", (L89/$T$128), 0)</f>
        <v>0</v>
      </c>
      <c r="N91" s="16">
        <f>M93*1000</f>
        <v>1.4179999999999999</v>
      </c>
      <c r="O91" s="15" t="s">
        <v>27</v>
      </c>
    </row>
    <row r="92" spans="5:15">
      <c r="E92" s="60"/>
      <c r="F92" s="62"/>
      <c r="G92" s="62"/>
      <c r="H92" s="62"/>
      <c r="I92" s="62"/>
      <c r="K92" s="11" t="s">
        <v>22</v>
      </c>
      <c r="L92" s="15" t="s">
        <v>27</v>
      </c>
      <c r="M92" s="11">
        <f>IF(Dashboard!$C$8="Pounds", (L89*$Y$10), 0)</f>
        <v>1.418E-3</v>
      </c>
      <c r="N92" s="15" t="s">
        <v>27</v>
      </c>
      <c r="O92" s="15" t="s">
        <v>27</v>
      </c>
    </row>
    <row r="93" spans="5:15">
      <c r="E93" s="60"/>
      <c r="F93" s="62"/>
      <c r="G93" s="62"/>
      <c r="H93" s="62"/>
      <c r="I93" s="62"/>
      <c r="K93" s="11" t="s">
        <v>23</v>
      </c>
      <c r="L93" s="15" t="s">
        <v>27</v>
      </c>
      <c r="M93" s="10">
        <f>SUM(M90:M92)</f>
        <v>1.418E-3</v>
      </c>
      <c r="N93" s="17">
        <f>IF(Dashboard!$G$4="kWh", N90, N91)</f>
        <v>1.4179999999999999</v>
      </c>
      <c r="O93" s="17">
        <f>N93*Dashboard!$C$4</f>
        <v>1.4179999999999999</v>
      </c>
    </row>
    <row r="94" spans="5:15">
      <c r="E94" s="60"/>
      <c r="F94" s="61" t="s">
        <v>56</v>
      </c>
      <c r="G94" s="61" t="s">
        <v>57</v>
      </c>
      <c r="H94" s="62">
        <v>2.2879999999999998</v>
      </c>
      <c r="I94" s="62">
        <f>H94/($Y$10*$Y$5)</f>
        <v>1.144E-6</v>
      </c>
    </row>
    <row r="95" spans="5:15" ht="64.5">
      <c r="E95" s="60"/>
      <c r="F95" s="62"/>
      <c r="G95" s="62"/>
      <c r="H95" s="62"/>
      <c r="I95" s="62"/>
      <c r="K95" s="14"/>
      <c r="L95" s="8" t="s">
        <v>30</v>
      </c>
      <c r="M95" s="8" t="s">
        <v>31</v>
      </c>
      <c r="N95" s="8" t="s">
        <v>32</v>
      </c>
      <c r="O95" s="8" t="s">
        <v>33</v>
      </c>
    </row>
    <row r="96" spans="5:15" ht="30">
      <c r="E96" s="60"/>
      <c r="F96" s="62"/>
      <c r="G96" s="62"/>
      <c r="H96" s="62"/>
      <c r="I96" s="62"/>
      <c r="K96" s="21" t="s">
        <v>34</v>
      </c>
      <c r="L96" s="18">
        <f>I94</f>
        <v>1.144E-6</v>
      </c>
      <c r="M96" s="15" t="s">
        <v>27</v>
      </c>
      <c r="N96" s="19" t="str">
        <f>IF(Dashboard!$H$4="Metric Tons", (1/$G$128)*M96, M96)</f>
        <v>-</v>
      </c>
      <c r="O96" s="15" t="s">
        <v>27</v>
      </c>
    </row>
    <row r="97" spans="5:15">
      <c r="E97" s="60"/>
      <c r="F97" s="61"/>
      <c r="G97" s="61"/>
      <c r="H97" s="62"/>
      <c r="I97" s="62"/>
      <c r="K97" s="11" t="s">
        <v>25</v>
      </c>
      <c r="L97" s="15" t="s">
        <v>27</v>
      </c>
      <c r="M97" s="10">
        <f>IF(Dashboard!$C$8="tons", L96, 0)</f>
        <v>0</v>
      </c>
      <c r="N97" s="10">
        <f>M100</f>
        <v>2.2880000000000001E-3</v>
      </c>
      <c r="O97" s="15" t="s">
        <v>27</v>
      </c>
    </row>
    <row r="98" spans="5:15">
      <c r="E98" s="60"/>
      <c r="F98" s="61"/>
      <c r="G98" s="61"/>
      <c r="H98" s="61"/>
      <c r="I98" s="62"/>
      <c r="K98" s="11" t="s">
        <v>26</v>
      </c>
      <c r="L98" s="15" t="s">
        <v>27</v>
      </c>
      <c r="M98" s="10">
        <f>IF(Dashboard!$C$8="Metric Tons", (L96/$T$128), 0)</f>
        <v>0</v>
      </c>
      <c r="N98" s="16">
        <f>M100*1000</f>
        <v>2.2880000000000003</v>
      </c>
      <c r="O98" s="15" t="s">
        <v>27</v>
      </c>
    </row>
    <row r="99" spans="5:15">
      <c r="E99" s="60"/>
      <c r="F99" s="62"/>
      <c r="G99" s="61"/>
      <c r="H99" s="62"/>
      <c r="I99" s="62"/>
      <c r="K99" s="11" t="s">
        <v>22</v>
      </c>
      <c r="L99" s="15" t="s">
        <v>27</v>
      </c>
      <c r="M99" s="11">
        <f>IF(Dashboard!$C$8="Pounds", (L96*$Y$10), 0)</f>
        <v>2.2880000000000001E-3</v>
      </c>
      <c r="N99" s="15" t="s">
        <v>27</v>
      </c>
      <c r="O99" s="15" t="s">
        <v>27</v>
      </c>
    </row>
    <row r="100" spans="5:15">
      <c r="E100" s="60"/>
      <c r="F100" s="62"/>
      <c r="G100" s="61"/>
      <c r="H100" s="61"/>
      <c r="I100" s="62"/>
      <c r="K100" s="11" t="s">
        <v>23</v>
      </c>
      <c r="L100" s="15" t="s">
        <v>27</v>
      </c>
      <c r="M100" s="10">
        <f>SUM(M97:M99)</f>
        <v>2.2880000000000001E-3</v>
      </c>
      <c r="N100" s="17">
        <f>IF(Dashboard!$G$4="kWh", N97, N98)</f>
        <v>2.2880000000000003</v>
      </c>
      <c r="O100" s="17">
        <f>N100*Dashboard!$C$4</f>
        <v>2.2880000000000003</v>
      </c>
    </row>
    <row r="101" spans="5:15">
      <c r="E101" s="60"/>
      <c r="F101" s="61" t="s">
        <v>44</v>
      </c>
      <c r="G101" s="61" t="s">
        <v>57</v>
      </c>
      <c r="H101" s="61">
        <v>1427.21</v>
      </c>
      <c r="I101" s="62">
        <f>H101/($Y$10*$Y$5)</f>
        <v>7.1360499999999997E-4</v>
      </c>
    </row>
    <row r="102" spans="5:15" ht="64.5">
      <c r="E102" s="60"/>
      <c r="F102" s="62"/>
      <c r="G102" s="62"/>
      <c r="H102" s="62"/>
      <c r="I102" s="62"/>
      <c r="K102" s="14"/>
      <c r="L102" s="8" t="s">
        <v>30</v>
      </c>
      <c r="M102" s="8" t="s">
        <v>31</v>
      </c>
      <c r="N102" s="8" t="s">
        <v>32</v>
      </c>
      <c r="O102" s="8" t="s">
        <v>33</v>
      </c>
    </row>
    <row r="103" spans="5:15" ht="30">
      <c r="E103" s="60"/>
      <c r="F103" s="62"/>
      <c r="G103" s="62"/>
      <c r="H103" s="62"/>
      <c r="I103" s="62"/>
      <c r="K103" s="21" t="s">
        <v>34</v>
      </c>
      <c r="L103" s="18">
        <f>I101</f>
        <v>7.1360499999999997E-4</v>
      </c>
      <c r="M103" s="15" t="s">
        <v>27</v>
      </c>
      <c r="N103" s="19" t="str">
        <f>IF(Dashboard!$H$4="Metric Tons", (1/$G$128)*M103, M103)</f>
        <v>-</v>
      </c>
      <c r="O103" s="15" t="s">
        <v>27</v>
      </c>
    </row>
    <row r="104" spans="5:15">
      <c r="E104" s="60"/>
      <c r="F104" s="62"/>
      <c r="G104" s="61"/>
      <c r="H104" s="61"/>
      <c r="I104" s="62"/>
      <c r="K104" s="11" t="s">
        <v>25</v>
      </c>
      <c r="L104" s="15" t="s">
        <v>27</v>
      </c>
      <c r="M104" s="10">
        <f>IF(Dashboard!$C$8="tons", L103, 0)</f>
        <v>0</v>
      </c>
      <c r="N104" s="10">
        <f>M107</f>
        <v>1.4272099999999999</v>
      </c>
      <c r="O104" s="15" t="s">
        <v>27</v>
      </c>
    </row>
    <row r="105" spans="5:15">
      <c r="E105" s="60"/>
      <c r="F105" s="62"/>
      <c r="G105" s="61"/>
      <c r="H105" s="61"/>
      <c r="I105" s="62"/>
      <c r="K105" s="11" t="s">
        <v>26</v>
      </c>
      <c r="L105" s="15" t="s">
        <v>27</v>
      </c>
      <c r="M105" s="10">
        <f>IF(Dashboard!$C$8="Metric Tons", (L103/$T$128), 0)</f>
        <v>0</v>
      </c>
      <c r="N105" s="16">
        <f>M107*1000</f>
        <v>1427.2099999999998</v>
      </c>
      <c r="O105" s="15" t="s">
        <v>27</v>
      </c>
    </row>
    <row r="106" spans="5:15">
      <c r="E106" s="60"/>
      <c r="F106" s="62"/>
      <c r="G106" s="61"/>
      <c r="H106" s="61"/>
      <c r="I106" s="62"/>
      <c r="K106" s="11" t="s">
        <v>22</v>
      </c>
      <c r="L106" s="15" t="s">
        <v>27</v>
      </c>
      <c r="M106" s="11">
        <f>IF(Dashboard!$C$8="Pounds", (L103*$Y$10), 0)</f>
        <v>1.4272099999999999</v>
      </c>
      <c r="N106" s="15" t="s">
        <v>27</v>
      </c>
      <c r="O106" s="15" t="s">
        <v>27</v>
      </c>
    </row>
    <row r="107" spans="5:15">
      <c r="E107" s="60"/>
      <c r="F107" s="62"/>
      <c r="G107" s="62"/>
      <c r="H107" s="61"/>
      <c r="I107" s="62"/>
      <c r="K107" s="11" t="s">
        <v>23</v>
      </c>
      <c r="L107" s="15" t="s">
        <v>27</v>
      </c>
      <c r="M107" s="10">
        <f>SUM(M104:M106)</f>
        <v>1.4272099999999999</v>
      </c>
      <c r="N107" s="17">
        <f>IF(Dashboard!$G$4="kWh", N104, N105)</f>
        <v>1427.2099999999998</v>
      </c>
      <c r="O107" s="17">
        <f>N107*Dashboard!$C$4</f>
        <v>1427.2099999999998</v>
      </c>
    </row>
    <row r="108" spans="5:15">
      <c r="E108" s="60"/>
      <c r="F108" s="61" t="s">
        <v>54</v>
      </c>
      <c r="G108" s="61" t="s">
        <v>57</v>
      </c>
      <c r="H108" s="61">
        <v>8.9846000000000004</v>
      </c>
      <c r="I108" s="62">
        <f>H108/($Y$10*$Y$5)</f>
        <v>4.4923000000000002E-6</v>
      </c>
    </row>
    <row r="109" spans="5:15" ht="64.5">
      <c r="E109" s="60"/>
      <c r="F109" s="62"/>
      <c r="G109" s="62"/>
      <c r="H109" s="62"/>
      <c r="I109" s="62"/>
      <c r="K109" s="14"/>
      <c r="L109" s="8" t="s">
        <v>30</v>
      </c>
      <c r="M109" s="8" t="s">
        <v>31</v>
      </c>
      <c r="N109" s="8" t="s">
        <v>32</v>
      </c>
      <c r="O109" s="8" t="s">
        <v>33</v>
      </c>
    </row>
    <row r="110" spans="5:15" ht="30">
      <c r="E110" s="60"/>
      <c r="F110" s="62"/>
      <c r="G110" s="62"/>
      <c r="H110" s="62"/>
      <c r="I110" s="62"/>
      <c r="K110" s="21" t="s">
        <v>34</v>
      </c>
      <c r="L110" s="18">
        <f>I108</f>
        <v>4.4923000000000002E-6</v>
      </c>
      <c r="M110" s="15" t="s">
        <v>27</v>
      </c>
      <c r="N110" s="19" t="str">
        <f>IF(Dashboard!$H$4="Metric Tons", (1/$G$128)*M110, M110)</f>
        <v>-</v>
      </c>
      <c r="O110" s="15" t="s">
        <v>27</v>
      </c>
    </row>
    <row r="111" spans="5:15">
      <c r="E111" s="60"/>
      <c r="F111" s="62"/>
      <c r="G111" s="62"/>
      <c r="H111" s="62"/>
      <c r="I111" s="62"/>
      <c r="K111" s="11" t="s">
        <v>25</v>
      </c>
      <c r="L111" s="15" t="s">
        <v>27</v>
      </c>
      <c r="M111" s="10">
        <f>IF(Dashboard!$C$8="tons", L110, 0)</f>
        <v>0</v>
      </c>
      <c r="N111" s="10">
        <f>M114</f>
        <v>8.9846000000000006E-3</v>
      </c>
      <c r="O111" s="15" t="s">
        <v>27</v>
      </c>
    </row>
    <row r="112" spans="5:15">
      <c r="E112" s="60"/>
      <c r="F112" s="62"/>
      <c r="G112" s="62"/>
      <c r="H112" s="62"/>
      <c r="I112" s="62"/>
      <c r="K112" s="11" t="s">
        <v>26</v>
      </c>
      <c r="L112" s="15" t="s">
        <v>27</v>
      </c>
      <c r="M112" s="10">
        <f>IF(Dashboard!$C$8="Metric Tons", (L110/$T$128), 0)</f>
        <v>0</v>
      </c>
      <c r="N112" s="16">
        <f>M114*1000</f>
        <v>8.9846000000000004</v>
      </c>
      <c r="O112" s="15" t="s">
        <v>27</v>
      </c>
    </row>
    <row r="113" spans="5:21">
      <c r="E113" s="60"/>
      <c r="F113" s="62"/>
      <c r="G113" s="62"/>
      <c r="H113" s="62"/>
      <c r="I113" s="62"/>
      <c r="K113" s="11" t="s">
        <v>22</v>
      </c>
      <c r="L113" s="15" t="s">
        <v>27</v>
      </c>
      <c r="M113" s="11">
        <f>IF(Dashboard!$C$8="Pounds", (L110*$Y$10), 0)</f>
        <v>8.9846000000000006E-3</v>
      </c>
      <c r="N113" s="15" t="s">
        <v>27</v>
      </c>
      <c r="O113" s="15" t="s">
        <v>27</v>
      </c>
    </row>
    <row r="114" spans="5:21">
      <c r="E114" s="60"/>
      <c r="F114" s="62"/>
      <c r="G114" s="62"/>
      <c r="H114" s="62"/>
      <c r="I114" s="62"/>
      <c r="K114" s="11" t="s">
        <v>23</v>
      </c>
      <c r="L114" s="15" t="s">
        <v>27</v>
      </c>
      <c r="M114" s="10">
        <f>SUM(M111:M113)</f>
        <v>8.9846000000000006E-3</v>
      </c>
      <c r="N114" s="17">
        <f>IF(Dashboard!$G$4="kWh", N111, N112)</f>
        <v>8.9846000000000004</v>
      </c>
      <c r="O114" s="17">
        <f>N114*Dashboard!$C$4</f>
        <v>8.9846000000000004</v>
      </c>
    </row>
    <row r="115" spans="5:21">
      <c r="E115" s="60" t="s">
        <v>53</v>
      </c>
      <c r="F115" s="61" t="s">
        <v>56</v>
      </c>
      <c r="G115" s="61" t="s">
        <v>0</v>
      </c>
      <c r="H115" s="62">
        <v>1.3027</v>
      </c>
      <c r="I115" s="62">
        <f>H115/($Y$10*$Y$5)</f>
        <v>6.5135000000000002E-7</v>
      </c>
    </row>
    <row r="116" spans="5:21" ht="64.5">
      <c r="E116" s="60"/>
      <c r="F116" s="62"/>
      <c r="G116" s="62"/>
      <c r="H116" s="62"/>
      <c r="I116" s="62"/>
      <c r="K116" s="14"/>
      <c r="L116" s="8" t="s">
        <v>30</v>
      </c>
      <c r="M116" s="8" t="s">
        <v>31</v>
      </c>
      <c r="N116" s="8" t="s">
        <v>32</v>
      </c>
      <c r="O116" s="8" t="s">
        <v>33</v>
      </c>
    </row>
    <row r="117" spans="5:21" ht="30">
      <c r="E117" s="60"/>
      <c r="F117" s="62"/>
      <c r="G117" s="62"/>
      <c r="H117" s="62"/>
      <c r="I117" s="62"/>
      <c r="K117" s="21" t="s">
        <v>34</v>
      </c>
      <c r="L117" s="18">
        <f>I115</f>
        <v>6.5135000000000002E-7</v>
      </c>
      <c r="M117" s="15" t="s">
        <v>27</v>
      </c>
      <c r="N117" s="19" t="str">
        <f>IF(Dashboard!$H$4="Metric Tons", (1/$G$128)*M117, M117)</f>
        <v>-</v>
      </c>
      <c r="O117" s="15" t="s">
        <v>27</v>
      </c>
    </row>
    <row r="118" spans="5:21">
      <c r="E118" s="60"/>
      <c r="F118" s="62"/>
      <c r="G118" s="62"/>
      <c r="H118" s="62"/>
      <c r="I118" s="62"/>
      <c r="K118" s="11" t="s">
        <v>25</v>
      </c>
      <c r="L118" s="15" t="s">
        <v>27</v>
      </c>
      <c r="M118" s="10">
        <f>IF(Dashboard!$C$8="tons", L117, 0)</f>
        <v>0</v>
      </c>
      <c r="N118" s="10">
        <f>M121</f>
        <v>1.3027E-3</v>
      </c>
      <c r="O118" s="15" t="s">
        <v>27</v>
      </c>
    </row>
    <row r="119" spans="5:21">
      <c r="E119" s="60"/>
      <c r="F119" s="62"/>
      <c r="G119" s="61"/>
      <c r="H119" s="62"/>
      <c r="I119" s="62"/>
      <c r="K119" s="11" t="s">
        <v>26</v>
      </c>
      <c r="L119" s="15" t="s">
        <v>27</v>
      </c>
      <c r="M119" s="10">
        <f>IF(Dashboard!$C$8="Metric Tons", (L117/$T$128), 0)</f>
        <v>0</v>
      </c>
      <c r="N119" s="16">
        <f>M121*1000</f>
        <v>1.3027</v>
      </c>
      <c r="O119" s="15" t="s">
        <v>27</v>
      </c>
    </row>
    <row r="120" spans="5:21">
      <c r="E120" s="60"/>
      <c r="F120" s="62"/>
      <c r="G120" s="62"/>
      <c r="H120" s="62"/>
      <c r="I120" s="62"/>
      <c r="K120" s="11" t="s">
        <v>22</v>
      </c>
      <c r="L120" s="15" t="s">
        <v>27</v>
      </c>
      <c r="M120" s="11">
        <f>IF(Dashboard!$C$8="Pounds", (L117*$Y$10), 0)</f>
        <v>1.3027E-3</v>
      </c>
      <c r="N120" s="15" t="s">
        <v>27</v>
      </c>
      <c r="O120" s="15" t="s">
        <v>27</v>
      </c>
    </row>
    <row r="121" spans="5:21">
      <c r="E121" s="60"/>
      <c r="F121" s="62"/>
      <c r="G121" s="62"/>
      <c r="H121" s="62"/>
      <c r="I121" s="62"/>
      <c r="K121" s="11" t="s">
        <v>23</v>
      </c>
      <c r="L121" s="15" t="s">
        <v>27</v>
      </c>
      <c r="M121" s="10">
        <f>SUM(M118:M120)</f>
        <v>1.3027E-3</v>
      </c>
      <c r="N121" s="17">
        <f>IF(Dashboard!$G$4="kWh", N118, N119)</f>
        <v>1.3027</v>
      </c>
      <c r="O121" s="17">
        <f>N121*Dashboard!$C$4</f>
        <v>1.3027</v>
      </c>
    </row>
    <row r="122" spans="5:21">
      <c r="E122" s="60"/>
      <c r="F122" s="61" t="s">
        <v>56</v>
      </c>
      <c r="G122" s="61" t="s">
        <v>57</v>
      </c>
      <c r="H122" s="62">
        <v>1.9261999999999999</v>
      </c>
      <c r="I122" s="62">
        <f>H122/($Y$10*$Y$5)</f>
        <v>9.6309999999999994E-7</v>
      </c>
    </row>
    <row r="123" spans="5:21" ht="64.5">
      <c r="E123" s="60"/>
      <c r="F123" s="62"/>
      <c r="G123" s="62"/>
      <c r="H123" s="62"/>
      <c r="I123" s="62"/>
      <c r="K123" s="14"/>
      <c r="L123" s="8" t="s">
        <v>30</v>
      </c>
      <c r="M123" s="8" t="s">
        <v>31</v>
      </c>
      <c r="N123" s="8" t="s">
        <v>32</v>
      </c>
      <c r="O123" s="8" t="s">
        <v>33</v>
      </c>
    </row>
    <row r="124" spans="5:21" ht="30">
      <c r="E124" s="63"/>
      <c r="F124" s="62"/>
      <c r="G124" s="62"/>
      <c r="H124" s="62"/>
      <c r="I124" s="62"/>
      <c r="K124" s="21" t="s">
        <v>34</v>
      </c>
      <c r="L124" s="18">
        <f>I122</f>
        <v>9.6309999999999994E-7</v>
      </c>
      <c r="M124" s="15" t="s">
        <v>27</v>
      </c>
      <c r="N124" s="19" t="str">
        <f>IF(Dashboard!$H$4="Metric Tons", (1/$G$128)*M124, M124)</f>
        <v>-</v>
      </c>
      <c r="O124" s="15" t="s">
        <v>27</v>
      </c>
      <c r="S124" s="27" t="s">
        <v>18</v>
      </c>
      <c r="T124" s="28"/>
      <c r="U124" s="52"/>
    </row>
    <row r="125" spans="5:21">
      <c r="E125" s="63"/>
      <c r="F125" s="61"/>
      <c r="G125" s="61"/>
      <c r="H125" s="62"/>
      <c r="I125" s="62"/>
      <c r="K125" s="11" t="s">
        <v>25</v>
      </c>
      <c r="L125" s="15" t="s">
        <v>27</v>
      </c>
      <c r="M125" s="10">
        <f>IF(Dashboard!$C$8="tons", L124, 0)</f>
        <v>0</v>
      </c>
      <c r="N125" s="10">
        <f>M128</f>
        <v>1.9261999999999999E-3</v>
      </c>
      <c r="O125" s="15" t="s">
        <v>27</v>
      </c>
      <c r="S125" s="7" t="s">
        <v>9</v>
      </c>
      <c r="T125" s="5">
        <v>1000</v>
      </c>
      <c r="U125" s="52"/>
    </row>
    <row r="126" spans="5:21">
      <c r="E126" s="63"/>
      <c r="F126" s="61"/>
      <c r="G126" s="61"/>
      <c r="H126" s="61"/>
      <c r="I126" s="62"/>
      <c r="K126" s="11" t="s">
        <v>26</v>
      </c>
      <c r="L126" s="15" t="s">
        <v>27</v>
      </c>
      <c r="M126" s="10">
        <f>IF(Dashboard!$C$8="Metric Tons", (L124/$T$128), 0)</f>
        <v>0</v>
      </c>
      <c r="N126" s="16">
        <f>M128*1000</f>
        <v>1.9261999999999999</v>
      </c>
      <c r="O126" s="15" t="s">
        <v>27</v>
      </c>
      <c r="S126" s="7" t="s">
        <v>10</v>
      </c>
      <c r="T126" s="10">
        <v>1</v>
      </c>
      <c r="U126" s="52"/>
    </row>
    <row r="127" spans="5:21">
      <c r="E127" s="63"/>
      <c r="F127" s="62"/>
      <c r="G127" s="61"/>
      <c r="H127" s="62"/>
      <c r="I127" s="62"/>
      <c r="K127" s="11" t="s">
        <v>22</v>
      </c>
      <c r="L127" s="15" t="s">
        <v>27</v>
      </c>
      <c r="M127" s="11">
        <f>IF(Dashboard!$C$8="Pounds", (L124*$Y$10), 0)</f>
        <v>1.9261999999999999E-3</v>
      </c>
      <c r="N127" s="15" t="s">
        <v>27</v>
      </c>
      <c r="O127" s="15" t="s">
        <v>27</v>
      </c>
      <c r="S127" s="20"/>
      <c r="T127" s="12"/>
      <c r="U127" s="52"/>
    </row>
    <row r="128" spans="5:21">
      <c r="E128" s="63"/>
      <c r="F128" s="62"/>
      <c r="G128" s="61"/>
      <c r="H128" s="61"/>
      <c r="I128" s="62"/>
      <c r="K128" s="11" t="s">
        <v>23</v>
      </c>
      <c r="L128" s="15" t="s">
        <v>27</v>
      </c>
      <c r="M128" s="10">
        <f>SUM(M125:M127)</f>
        <v>1.9261999999999999E-3</v>
      </c>
      <c r="N128" s="17">
        <f>IF(Dashboard!$G$4="kWh", N125, N126)</f>
        <v>1.9261999999999999</v>
      </c>
      <c r="O128" s="17">
        <f>N128*Dashboard!$C$4</f>
        <v>1.9261999999999999</v>
      </c>
      <c r="S128" s="7" t="s">
        <v>8</v>
      </c>
      <c r="T128" s="11">
        <v>1.1023113099999999</v>
      </c>
      <c r="U128" s="52"/>
    </row>
    <row r="129" spans="5:21">
      <c r="E129" s="63"/>
      <c r="F129" s="61" t="s">
        <v>44</v>
      </c>
      <c r="G129" s="61" t="s">
        <v>57</v>
      </c>
      <c r="H129" s="61">
        <v>1368.85</v>
      </c>
      <c r="I129" s="62">
        <f>H129/($Y$10*$Y$5)</f>
        <v>6.8442500000000001E-4</v>
      </c>
      <c r="S129" s="7" t="s">
        <v>11</v>
      </c>
      <c r="T129" s="10">
        <v>1</v>
      </c>
      <c r="U129" s="52"/>
    </row>
    <row r="130" spans="5:21" ht="64.5">
      <c r="E130" s="63"/>
      <c r="F130" s="62"/>
      <c r="G130" s="62"/>
      <c r="H130" s="62"/>
      <c r="I130" s="62"/>
      <c r="K130" s="14"/>
      <c r="L130" s="8" t="s">
        <v>30</v>
      </c>
      <c r="M130" s="8" t="s">
        <v>31</v>
      </c>
      <c r="N130" s="8" t="s">
        <v>32</v>
      </c>
      <c r="O130" s="8" t="s">
        <v>33</v>
      </c>
      <c r="S130" s="7" t="s">
        <v>24</v>
      </c>
      <c r="T130" s="10">
        <v>2000</v>
      </c>
      <c r="U130" s="52"/>
    </row>
    <row r="131" spans="5:21" ht="30">
      <c r="E131" s="60"/>
      <c r="F131" s="62"/>
      <c r="G131" s="62"/>
      <c r="H131" s="62"/>
      <c r="I131" s="62"/>
      <c r="K131" s="21" t="s">
        <v>34</v>
      </c>
      <c r="L131" s="18">
        <f>I129</f>
        <v>6.8442500000000001E-4</v>
      </c>
      <c r="M131" s="15" t="s">
        <v>27</v>
      </c>
      <c r="N131" s="19" t="str">
        <f>IF(Dashboard!$H$4="Metric Tons", (1/$G$128)*M131, M131)</f>
        <v>-</v>
      </c>
      <c r="O131" s="15" t="s">
        <v>27</v>
      </c>
    </row>
    <row r="132" spans="5:21">
      <c r="E132" s="60"/>
      <c r="F132" s="62"/>
      <c r="G132" s="61"/>
      <c r="H132" s="61"/>
      <c r="I132" s="62"/>
      <c r="K132" s="11" t="s">
        <v>25</v>
      </c>
      <c r="L132" s="15" t="s">
        <v>27</v>
      </c>
      <c r="M132" s="10">
        <f>IF(Dashboard!$C$8="tons", L131, 0)</f>
        <v>0</v>
      </c>
      <c r="N132" s="10">
        <f>M135</f>
        <v>1.3688500000000001</v>
      </c>
      <c r="O132" s="15" t="s">
        <v>27</v>
      </c>
    </row>
    <row r="133" spans="5:21">
      <c r="E133" s="60"/>
      <c r="F133" s="62"/>
      <c r="G133" s="61"/>
      <c r="H133" s="61"/>
      <c r="I133" s="62"/>
      <c r="K133" s="11" t="s">
        <v>26</v>
      </c>
      <c r="L133" s="15" t="s">
        <v>27</v>
      </c>
      <c r="M133" s="10">
        <f>IF(Dashboard!$C$8="Metric Tons", (L131/$T$128), 0)</f>
        <v>0</v>
      </c>
      <c r="N133" s="16">
        <f>M135*1000</f>
        <v>1368.8500000000001</v>
      </c>
      <c r="O133" s="15" t="s">
        <v>27</v>
      </c>
    </row>
    <row r="134" spans="5:21">
      <c r="E134" s="60"/>
      <c r="F134" s="62"/>
      <c r="G134" s="61"/>
      <c r="H134" s="61"/>
      <c r="I134" s="62"/>
      <c r="K134" s="11" t="s">
        <v>22</v>
      </c>
      <c r="L134" s="15" t="s">
        <v>27</v>
      </c>
      <c r="M134" s="11">
        <f>IF(Dashboard!$C$8="Pounds", (L131*$Y$10), 0)</f>
        <v>1.3688500000000001</v>
      </c>
      <c r="N134" s="15" t="s">
        <v>27</v>
      </c>
      <c r="O134" s="15" t="s">
        <v>27</v>
      </c>
    </row>
    <row r="135" spans="5:21">
      <c r="E135" s="60"/>
      <c r="F135" s="62"/>
      <c r="G135" s="62"/>
      <c r="H135" s="61"/>
      <c r="I135" s="62"/>
      <c r="K135" s="11" t="s">
        <v>23</v>
      </c>
      <c r="L135" s="15" t="s">
        <v>27</v>
      </c>
      <c r="M135" s="10">
        <f>SUM(M132:M134)</f>
        <v>1.3688500000000001</v>
      </c>
      <c r="N135" s="17">
        <f>IF(Dashboard!$G$4="kWh", N132, N133)</f>
        <v>1368.8500000000001</v>
      </c>
      <c r="O135" s="17">
        <f>N135*Dashboard!$C$4</f>
        <v>1368.8500000000001</v>
      </c>
    </row>
    <row r="136" spans="5:21">
      <c r="E136" s="60"/>
      <c r="F136" s="61" t="s">
        <v>54</v>
      </c>
      <c r="G136" s="61" t="s">
        <v>57</v>
      </c>
      <c r="H136" s="61">
        <v>6.2443</v>
      </c>
      <c r="I136" s="62">
        <f>H136/($Y$10*$Y$5)</f>
        <v>3.1221499999999998E-6</v>
      </c>
    </row>
    <row r="137" spans="5:21" ht="64.5">
      <c r="E137" s="60"/>
      <c r="F137" s="62"/>
      <c r="G137" s="62"/>
      <c r="H137" s="62"/>
      <c r="I137" s="62"/>
      <c r="K137" s="14"/>
      <c r="L137" s="8" t="s">
        <v>30</v>
      </c>
      <c r="M137" s="8" t="s">
        <v>31</v>
      </c>
      <c r="N137" s="8" t="s">
        <v>32</v>
      </c>
      <c r="O137" s="8" t="s">
        <v>33</v>
      </c>
    </row>
    <row r="138" spans="5:21" ht="30">
      <c r="E138" s="60"/>
      <c r="F138" s="62"/>
      <c r="G138" s="62"/>
      <c r="H138" s="62"/>
      <c r="I138" s="62"/>
      <c r="K138" s="21" t="s">
        <v>34</v>
      </c>
      <c r="L138" s="18">
        <f>I136</f>
        <v>3.1221499999999998E-6</v>
      </c>
      <c r="M138" s="15" t="s">
        <v>27</v>
      </c>
      <c r="N138" s="19" t="str">
        <f>IF(Dashboard!$H$4="Metric Tons", (1/$G$128)*M138, M138)</f>
        <v>-</v>
      </c>
      <c r="O138" s="15" t="s">
        <v>27</v>
      </c>
    </row>
    <row r="139" spans="5:21">
      <c r="E139" s="60"/>
      <c r="F139" s="62"/>
      <c r="G139" s="62"/>
      <c r="H139" s="62"/>
      <c r="I139" s="62"/>
      <c r="K139" s="11" t="s">
        <v>25</v>
      </c>
      <c r="L139" s="15" t="s">
        <v>27</v>
      </c>
      <c r="M139" s="10">
        <f>IF(Dashboard!$C$8="tons", L138, 0)</f>
        <v>0</v>
      </c>
      <c r="N139" s="10">
        <f>M142</f>
        <v>6.2442999999999995E-3</v>
      </c>
      <c r="O139" s="15" t="s">
        <v>27</v>
      </c>
    </row>
    <row r="140" spans="5:21">
      <c r="E140" s="60"/>
      <c r="F140" s="62"/>
      <c r="G140" s="62"/>
      <c r="H140" s="62"/>
      <c r="I140" s="62"/>
      <c r="K140" s="11" t="s">
        <v>26</v>
      </c>
      <c r="L140" s="15" t="s">
        <v>27</v>
      </c>
      <c r="M140" s="10">
        <f>IF(Dashboard!$C$8="Metric Tons", (L138/$T$128), 0)</f>
        <v>0</v>
      </c>
      <c r="N140" s="16">
        <f>M142*1000</f>
        <v>6.2442999999999991</v>
      </c>
      <c r="O140" s="15" t="s">
        <v>27</v>
      </c>
    </row>
    <row r="141" spans="5:21">
      <c r="E141" s="60"/>
      <c r="F141" s="62"/>
      <c r="G141" s="62"/>
      <c r="H141" s="62"/>
      <c r="I141" s="62"/>
      <c r="K141" s="11" t="s">
        <v>22</v>
      </c>
      <c r="L141" s="15" t="s">
        <v>27</v>
      </c>
      <c r="M141" s="11">
        <f>IF(Dashboard!$C$8="Pounds", (L138*$Y$10), 0)</f>
        <v>6.2442999999999995E-3</v>
      </c>
      <c r="N141" s="15" t="s">
        <v>27</v>
      </c>
      <c r="O141" s="15" t="s">
        <v>27</v>
      </c>
    </row>
    <row r="142" spans="5:21">
      <c r="E142" s="60"/>
      <c r="F142" s="62"/>
      <c r="G142" s="62"/>
      <c r="H142" s="62"/>
      <c r="I142" s="62"/>
      <c r="K142" s="11" t="s">
        <v>23</v>
      </c>
      <c r="L142" s="15" t="s">
        <v>27</v>
      </c>
      <c r="M142" s="10">
        <f>SUM(M139:M141)</f>
        <v>6.2442999999999995E-3</v>
      </c>
      <c r="N142" s="17">
        <f>IF(Dashboard!$G$4="kWh", N139, N140)</f>
        <v>6.2442999999999991</v>
      </c>
      <c r="O142" s="17">
        <f>N142*Dashboard!$C$4</f>
        <v>6.2442999999999991</v>
      </c>
    </row>
    <row r="143" spans="5:21">
      <c r="E143" s="60" t="s">
        <v>48</v>
      </c>
      <c r="F143" s="61" t="s">
        <v>56</v>
      </c>
      <c r="G143" s="61" t="s">
        <v>0</v>
      </c>
      <c r="H143" s="62">
        <v>1.1707000000000001</v>
      </c>
      <c r="I143" s="62">
        <f>H143/($Y$10*$Y$5)</f>
        <v>5.8535000000000004E-7</v>
      </c>
    </row>
    <row r="144" spans="5:21" ht="64.5">
      <c r="E144" s="60"/>
      <c r="F144" s="62"/>
      <c r="G144" s="62"/>
      <c r="H144" s="62"/>
      <c r="I144" s="62"/>
      <c r="K144" s="14"/>
      <c r="L144" s="8" t="s">
        <v>30</v>
      </c>
      <c r="M144" s="8" t="s">
        <v>31</v>
      </c>
      <c r="N144" s="8" t="s">
        <v>32</v>
      </c>
      <c r="O144" s="8" t="s">
        <v>33</v>
      </c>
    </row>
    <row r="145" spans="5:15" ht="30">
      <c r="E145" s="60"/>
      <c r="F145" s="62"/>
      <c r="G145" s="62"/>
      <c r="H145" s="62"/>
      <c r="I145" s="62"/>
      <c r="K145" s="21" t="s">
        <v>34</v>
      </c>
      <c r="L145" s="18">
        <f>I143</f>
        <v>5.8535000000000004E-7</v>
      </c>
      <c r="M145" s="15" t="s">
        <v>27</v>
      </c>
      <c r="N145" s="19" t="str">
        <f>IF(Dashboard!$H$4="Metric Tons", (1/$G$128)*M145, M145)</f>
        <v>-</v>
      </c>
      <c r="O145" s="15" t="s">
        <v>27</v>
      </c>
    </row>
    <row r="146" spans="5:15">
      <c r="E146" s="60"/>
      <c r="F146" s="62"/>
      <c r="G146" s="62"/>
      <c r="H146" s="62"/>
      <c r="I146" s="62"/>
      <c r="K146" s="11" t="s">
        <v>25</v>
      </c>
      <c r="L146" s="15" t="s">
        <v>27</v>
      </c>
      <c r="M146" s="10">
        <f>IF(Dashboard!$C$8="tons", L145, 0)</f>
        <v>0</v>
      </c>
      <c r="N146" s="10">
        <f>M149</f>
        <v>1.1707E-3</v>
      </c>
      <c r="O146" s="15" t="s">
        <v>27</v>
      </c>
    </row>
    <row r="147" spans="5:15">
      <c r="E147" s="60"/>
      <c r="F147" s="62"/>
      <c r="G147" s="61"/>
      <c r="H147" s="62"/>
      <c r="I147" s="62"/>
      <c r="K147" s="11" t="s">
        <v>26</v>
      </c>
      <c r="L147" s="15" t="s">
        <v>27</v>
      </c>
      <c r="M147" s="10">
        <f>IF(Dashboard!$C$8="Metric Tons", (L145/$T$128), 0)</f>
        <v>0</v>
      </c>
      <c r="N147" s="16">
        <f>M149*1000</f>
        <v>1.1707000000000001</v>
      </c>
      <c r="O147" s="15" t="s">
        <v>27</v>
      </c>
    </row>
    <row r="148" spans="5:15">
      <c r="E148" s="60"/>
      <c r="F148" s="62"/>
      <c r="G148" s="62"/>
      <c r="H148" s="62"/>
      <c r="I148" s="62"/>
      <c r="K148" s="11" t="s">
        <v>22</v>
      </c>
      <c r="L148" s="15" t="s">
        <v>27</v>
      </c>
      <c r="M148" s="11">
        <f>IF(Dashboard!$C$8="Pounds", (L145*$Y$10), 0)</f>
        <v>1.1707E-3</v>
      </c>
      <c r="N148" s="15" t="s">
        <v>27</v>
      </c>
      <c r="O148" s="15" t="s">
        <v>27</v>
      </c>
    </row>
    <row r="149" spans="5:15">
      <c r="E149" s="60"/>
      <c r="F149" s="62"/>
      <c r="G149" s="62"/>
      <c r="H149" s="62"/>
      <c r="I149" s="62"/>
      <c r="K149" s="11" t="s">
        <v>23</v>
      </c>
      <c r="L149" s="15" t="s">
        <v>27</v>
      </c>
      <c r="M149" s="10">
        <f>SUM(M146:M148)</f>
        <v>1.1707E-3</v>
      </c>
      <c r="N149" s="17">
        <f>IF(Dashboard!$G$4="kWh", N146, N147)</f>
        <v>1.1707000000000001</v>
      </c>
      <c r="O149" s="17">
        <f>N149*Dashboard!$C$4</f>
        <v>1.1707000000000001</v>
      </c>
    </row>
    <row r="150" spans="5:15">
      <c r="E150" s="60"/>
      <c r="F150" s="61" t="s">
        <v>56</v>
      </c>
      <c r="G150" s="61" t="s">
        <v>57</v>
      </c>
      <c r="H150" s="62">
        <v>1.6307</v>
      </c>
      <c r="I150" s="62">
        <f>H150/($Y$10*$Y$5)</f>
        <v>8.1535000000000006E-7</v>
      </c>
    </row>
    <row r="151" spans="5:15" ht="64.5">
      <c r="E151" s="60"/>
      <c r="F151" s="62"/>
      <c r="G151" s="62"/>
      <c r="H151" s="62"/>
      <c r="I151" s="62"/>
      <c r="K151" s="14"/>
      <c r="L151" s="8" t="s">
        <v>30</v>
      </c>
      <c r="M151" s="8" t="s">
        <v>31</v>
      </c>
      <c r="N151" s="8" t="s">
        <v>32</v>
      </c>
      <c r="O151" s="8" t="s">
        <v>33</v>
      </c>
    </row>
    <row r="152" spans="5:15" ht="30">
      <c r="E152" s="60"/>
      <c r="F152" s="62"/>
      <c r="G152" s="62"/>
      <c r="H152" s="62"/>
      <c r="I152" s="62"/>
      <c r="K152" s="21" t="s">
        <v>34</v>
      </c>
      <c r="L152" s="18">
        <f>I150</f>
        <v>8.1535000000000006E-7</v>
      </c>
      <c r="M152" s="15" t="s">
        <v>27</v>
      </c>
      <c r="N152" s="19" t="str">
        <f>IF(Dashboard!$H$4="Metric Tons", (1/$G$128)*M152, M152)</f>
        <v>-</v>
      </c>
      <c r="O152" s="15" t="s">
        <v>27</v>
      </c>
    </row>
    <row r="153" spans="5:15">
      <c r="E153" s="60"/>
      <c r="F153" s="61"/>
      <c r="G153" s="61"/>
      <c r="H153" s="62"/>
      <c r="I153" s="62"/>
      <c r="K153" s="11" t="s">
        <v>25</v>
      </c>
      <c r="L153" s="15" t="s">
        <v>27</v>
      </c>
      <c r="M153" s="10">
        <f>IF(Dashboard!$C$8="tons", L152, 0)</f>
        <v>0</v>
      </c>
      <c r="N153" s="10">
        <f>M156</f>
        <v>1.6307000000000001E-3</v>
      </c>
      <c r="O153" s="15" t="s">
        <v>27</v>
      </c>
    </row>
    <row r="154" spans="5:15">
      <c r="E154" s="60"/>
      <c r="F154" s="61"/>
      <c r="G154" s="61"/>
      <c r="H154" s="61"/>
      <c r="I154" s="62"/>
      <c r="K154" s="11" t="s">
        <v>26</v>
      </c>
      <c r="L154" s="15" t="s">
        <v>27</v>
      </c>
      <c r="M154" s="10">
        <f>IF(Dashboard!$C$8="Metric Tons", (L152/$T$128), 0)</f>
        <v>0</v>
      </c>
      <c r="N154" s="16">
        <f>M156*1000</f>
        <v>1.6307</v>
      </c>
      <c r="O154" s="15" t="s">
        <v>27</v>
      </c>
    </row>
    <row r="155" spans="5:15">
      <c r="E155" s="60"/>
      <c r="F155" s="62"/>
      <c r="G155" s="61"/>
      <c r="H155" s="62"/>
      <c r="I155" s="62"/>
      <c r="K155" s="11" t="s">
        <v>22</v>
      </c>
      <c r="L155" s="15" t="s">
        <v>27</v>
      </c>
      <c r="M155" s="11">
        <f>IF(Dashboard!$C$8="Pounds", (L152*$Y$10), 0)</f>
        <v>1.6307000000000001E-3</v>
      </c>
      <c r="N155" s="15" t="s">
        <v>27</v>
      </c>
      <c r="O155" s="15" t="s">
        <v>27</v>
      </c>
    </row>
    <row r="156" spans="5:15">
      <c r="E156" s="60"/>
      <c r="F156" s="62"/>
      <c r="G156" s="61"/>
      <c r="H156" s="61"/>
      <c r="I156" s="62"/>
      <c r="K156" s="11" t="s">
        <v>23</v>
      </c>
      <c r="L156" s="15" t="s">
        <v>27</v>
      </c>
      <c r="M156" s="10">
        <f>SUM(M153:M155)</f>
        <v>1.6307000000000001E-3</v>
      </c>
      <c r="N156" s="17">
        <f>IF(Dashboard!$G$4="kWh", N153, N154)</f>
        <v>1.6307</v>
      </c>
      <c r="O156" s="17">
        <f>N156*Dashboard!$C$4</f>
        <v>1.6307</v>
      </c>
    </row>
    <row r="157" spans="5:15">
      <c r="E157" s="60"/>
      <c r="F157" s="61" t="s">
        <v>44</v>
      </c>
      <c r="G157" s="61" t="s">
        <v>57</v>
      </c>
      <c r="H157" s="61">
        <v>1139.07</v>
      </c>
      <c r="I157" s="62">
        <f>H157/($Y$10*$Y$5)</f>
        <v>5.6953499999999992E-4</v>
      </c>
    </row>
    <row r="158" spans="5:15" ht="64.5">
      <c r="E158" s="60"/>
      <c r="F158" s="62"/>
      <c r="G158" s="62"/>
      <c r="H158" s="62"/>
      <c r="I158" s="62"/>
      <c r="K158" s="14"/>
      <c r="L158" s="8" t="s">
        <v>30</v>
      </c>
      <c r="M158" s="8" t="s">
        <v>31</v>
      </c>
      <c r="N158" s="8" t="s">
        <v>32</v>
      </c>
      <c r="O158" s="8" t="s">
        <v>33</v>
      </c>
    </row>
    <row r="159" spans="5:15" ht="30">
      <c r="E159" s="60"/>
      <c r="F159" s="62"/>
      <c r="G159" s="62"/>
      <c r="H159" s="62"/>
      <c r="I159" s="62"/>
      <c r="K159" s="21" t="s">
        <v>34</v>
      </c>
      <c r="L159" s="18">
        <f>I157</f>
        <v>5.6953499999999992E-4</v>
      </c>
      <c r="M159" s="15" t="s">
        <v>27</v>
      </c>
      <c r="N159" s="19" t="str">
        <f>IF(Dashboard!$H$4="Metric Tons", (1/$G$128)*M159, M159)</f>
        <v>-</v>
      </c>
      <c r="O159" s="15" t="s">
        <v>27</v>
      </c>
    </row>
    <row r="160" spans="5:15">
      <c r="E160" s="60"/>
      <c r="F160" s="62"/>
      <c r="G160" s="61"/>
      <c r="H160" s="61"/>
      <c r="I160" s="62"/>
      <c r="K160" s="11" t="s">
        <v>25</v>
      </c>
      <c r="L160" s="15" t="s">
        <v>27</v>
      </c>
      <c r="M160" s="10">
        <f>IF(Dashboard!$C$8="tons", L159, 0)</f>
        <v>0</v>
      </c>
      <c r="N160" s="10">
        <f>M163</f>
        <v>1.1390699999999998</v>
      </c>
      <c r="O160" s="15" t="s">
        <v>27</v>
      </c>
    </row>
    <row r="161" spans="5:15">
      <c r="E161" s="60"/>
      <c r="F161" s="62"/>
      <c r="G161" s="61"/>
      <c r="H161" s="61"/>
      <c r="I161" s="62"/>
      <c r="K161" s="11" t="s">
        <v>26</v>
      </c>
      <c r="L161" s="15" t="s">
        <v>27</v>
      </c>
      <c r="M161" s="10">
        <f>IF(Dashboard!$C$8="Metric Tons", (L159/$T$128), 0)</f>
        <v>0</v>
      </c>
      <c r="N161" s="16">
        <f>M163*1000</f>
        <v>1139.0699999999997</v>
      </c>
      <c r="O161" s="15" t="s">
        <v>27</v>
      </c>
    </row>
    <row r="162" spans="5:15">
      <c r="E162" s="60"/>
      <c r="F162" s="62"/>
      <c r="G162" s="61"/>
      <c r="H162" s="61"/>
      <c r="I162" s="62"/>
      <c r="K162" s="11" t="s">
        <v>22</v>
      </c>
      <c r="L162" s="15" t="s">
        <v>27</v>
      </c>
      <c r="M162" s="11">
        <f>IF(Dashboard!$C$8="Pounds", (L159*$Y$10), 0)</f>
        <v>1.1390699999999998</v>
      </c>
      <c r="N162" s="15" t="s">
        <v>27</v>
      </c>
      <c r="O162" s="15" t="s">
        <v>27</v>
      </c>
    </row>
    <row r="163" spans="5:15">
      <c r="E163" s="60"/>
      <c r="F163" s="62"/>
      <c r="G163" s="62"/>
      <c r="H163" s="61"/>
      <c r="I163" s="62"/>
      <c r="K163" s="11" t="s">
        <v>23</v>
      </c>
      <c r="L163" s="15" t="s">
        <v>27</v>
      </c>
      <c r="M163" s="10">
        <f>SUM(M160:M162)</f>
        <v>1.1390699999999998</v>
      </c>
      <c r="N163" s="17">
        <f>IF(Dashboard!$G$4="kWh", N160, N161)</f>
        <v>1139.0699999999997</v>
      </c>
      <c r="O163" s="17">
        <f>N163*Dashboard!$C$4</f>
        <v>1139.0699999999997</v>
      </c>
    </row>
    <row r="164" spans="5:15">
      <c r="E164" s="60"/>
      <c r="F164" s="61" t="s">
        <v>54</v>
      </c>
      <c r="G164" s="61" t="s">
        <v>57</v>
      </c>
      <c r="H164" s="61">
        <v>7.7918000000000003</v>
      </c>
      <c r="I164" s="62">
        <f>H164/($Y$10*$Y$5)</f>
        <v>3.8959000000000003E-6</v>
      </c>
    </row>
    <row r="165" spans="5:15" ht="64.5">
      <c r="E165" s="60"/>
      <c r="F165" s="62"/>
      <c r="G165" s="62"/>
      <c r="H165" s="62"/>
      <c r="I165" s="62"/>
      <c r="K165" s="14"/>
      <c r="L165" s="8" t="s">
        <v>30</v>
      </c>
      <c r="M165" s="8" t="s">
        <v>31</v>
      </c>
      <c r="N165" s="8" t="s">
        <v>32</v>
      </c>
      <c r="O165" s="8" t="s">
        <v>33</v>
      </c>
    </row>
    <row r="166" spans="5:15" ht="30">
      <c r="E166" s="60"/>
      <c r="F166" s="62"/>
      <c r="G166" s="62"/>
      <c r="H166" s="62"/>
      <c r="I166" s="62"/>
      <c r="K166" s="21" t="s">
        <v>34</v>
      </c>
      <c r="L166" s="18">
        <f>I164</f>
        <v>3.8959000000000003E-6</v>
      </c>
      <c r="M166" s="15" t="s">
        <v>27</v>
      </c>
      <c r="N166" s="19" t="str">
        <f>IF(Dashboard!$H$4="Metric Tons", (1/$G$128)*M166, M166)</f>
        <v>-</v>
      </c>
      <c r="O166" s="15" t="s">
        <v>27</v>
      </c>
    </row>
    <row r="167" spans="5:15">
      <c r="E167" s="60"/>
      <c r="F167" s="62"/>
      <c r="G167" s="62"/>
      <c r="H167" s="62"/>
      <c r="I167" s="62"/>
      <c r="K167" s="11" t="s">
        <v>25</v>
      </c>
      <c r="L167" s="15" t="s">
        <v>27</v>
      </c>
      <c r="M167" s="10">
        <f>IF(Dashboard!$C$8="tons", L166, 0)</f>
        <v>0</v>
      </c>
      <c r="N167" s="10">
        <f>M170</f>
        <v>7.7918000000000006E-3</v>
      </c>
      <c r="O167" s="15" t="s">
        <v>27</v>
      </c>
    </row>
    <row r="168" spans="5:15">
      <c r="E168" s="60"/>
      <c r="F168" s="62"/>
      <c r="G168" s="62"/>
      <c r="H168" s="62"/>
      <c r="I168" s="62"/>
      <c r="K168" s="11" t="s">
        <v>26</v>
      </c>
      <c r="L168" s="15" t="s">
        <v>27</v>
      </c>
      <c r="M168" s="10">
        <f>IF(Dashboard!$C$8="Metric Tons", (L166/$T$128), 0)</f>
        <v>0</v>
      </c>
      <c r="N168" s="16">
        <f>M170*1000</f>
        <v>7.7918000000000003</v>
      </c>
      <c r="O168" s="15" t="s">
        <v>27</v>
      </c>
    </row>
    <row r="169" spans="5:15">
      <c r="E169" s="60"/>
      <c r="F169" s="62"/>
      <c r="G169" s="62"/>
      <c r="H169" s="62"/>
      <c r="I169" s="62"/>
      <c r="K169" s="11" t="s">
        <v>22</v>
      </c>
      <c r="L169" s="15" t="s">
        <v>27</v>
      </c>
      <c r="M169" s="11">
        <f>IF(Dashboard!$C$8="Pounds", (L166*$Y$10), 0)</f>
        <v>7.7918000000000006E-3</v>
      </c>
      <c r="N169" s="15" t="s">
        <v>27</v>
      </c>
      <c r="O169" s="15" t="s">
        <v>27</v>
      </c>
    </row>
    <row r="170" spans="5:15">
      <c r="E170" s="60"/>
      <c r="F170" s="62"/>
      <c r="G170" s="62"/>
      <c r="H170" s="62"/>
      <c r="I170" s="62"/>
      <c r="K170" s="11" t="s">
        <v>23</v>
      </c>
      <c r="L170" s="15" t="s">
        <v>27</v>
      </c>
      <c r="M170" s="10">
        <f>SUM(M167:M169)</f>
        <v>7.7918000000000006E-3</v>
      </c>
      <c r="N170" s="17">
        <f>IF(Dashboard!$G$4="kWh", N167, N168)</f>
        <v>7.7918000000000003</v>
      </c>
      <c r="O170" s="17">
        <f>N170*Dashboard!$C$4</f>
        <v>7.7918000000000003</v>
      </c>
    </row>
    <row r="171" spans="5:15">
      <c r="E171" s="60" t="s">
        <v>52</v>
      </c>
      <c r="F171" s="61" t="s">
        <v>56</v>
      </c>
      <c r="G171" s="61" t="s">
        <v>0</v>
      </c>
      <c r="H171" s="62">
        <v>0.96719999999999995</v>
      </c>
      <c r="I171" s="62">
        <f>H171/($Y$10*$Y$5)</f>
        <v>4.8360000000000002E-7</v>
      </c>
    </row>
    <row r="172" spans="5:15" ht="64.5">
      <c r="E172" s="60"/>
      <c r="F172" s="62"/>
      <c r="G172" s="62"/>
      <c r="H172" s="62"/>
      <c r="I172" s="62"/>
      <c r="K172" s="14"/>
      <c r="L172" s="8" t="s">
        <v>30</v>
      </c>
      <c r="M172" s="8" t="s">
        <v>31</v>
      </c>
      <c r="N172" s="8" t="s">
        <v>32</v>
      </c>
      <c r="O172" s="8" t="s">
        <v>33</v>
      </c>
    </row>
    <row r="173" spans="5:15" ht="30">
      <c r="E173" s="60"/>
      <c r="F173" s="62"/>
      <c r="G173" s="62"/>
      <c r="H173" s="62"/>
      <c r="I173" s="62"/>
      <c r="K173" s="21" t="s">
        <v>34</v>
      </c>
      <c r="L173" s="18">
        <f>I171</f>
        <v>4.8360000000000002E-7</v>
      </c>
      <c r="M173" s="15" t="s">
        <v>27</v>
      </c>
      <c r="N173" s="19" t="str">
        <f>IF(Dashboard!$H$4="Metric Tons", (1/$G$128)*M173, M173)</f>
        <v>-</v>
      </c>
      <c r="O173" s="15" t="s">
        <v>27</v>
      </c>
    </row>
    <row r="174" spans="5:15">
      <c r="E174" s="60"/>
      <c r="F174" s="62"/>
      <c r="G174" s="62"/>
      <c r="H174" s="62"/>
      <c r="I174" s="62"/>
      <c r="K174" s="11" t="s">
        <v>25</v>
      </c>
      <c r="L174" s="15" t="s">
        <v>27</v>
      </c>
      <c r="M174" s="10">
        <f>IF(Dashboard!$C$8="tons", L173, 0)</f>
        <v>0</v>
      </c>
      <c r="N174" s="10">
        <f>M177</f>
        <v>9.6719999999999998E-4</v>
      </c>
      <c r="O174" s="15" t="s">
        <v>27</v>
      </c>
    </row>
    <row r="175" spans="5:15">
      <c r="E175" s="60"/>
      <c r="F175" s="62"/>
      <c r="G175" s="61"/>
      <c r="H175" s="62"/>
      <c r="I175" s="62"/>
      <c r="K175" s="11" t="s">
        <v>26</v>
      </c>
      <c r="L175" s="15" t="s">
        <v>27</v>
      </c>
      <c r="M175" s="10">
        <f>IF(Dashboard!$C$8="Metric Tons", (L173/$T$128), 0)</f>
        <v>0</v>
      </c>
      <c r="N175" s="16">
        <f>M177*1000</f>
        <v>0.96719999999999995</v>
      </c>
      <c r="O175" s="15" t="s">
        <v>27</v>
      </c>
    </row>
    <row r="176" spans="5:15">
      <c r="E176" s="60"/>
      <c r="F176" s="62"/>
      <c r="G176" s="62"/>
      <c r="H176" s="62"/>
      <c r="I176" s="62"/>
      <c r="K176" s="11" t="s">
        <v>22</v>
      </c>
      <c r="L176" s="15" t="s">
        <v>27</v>
      </c>
      <c r="M176" s="11">
        <f>IF(Dashboard!$C$8="Pounds", (L173*$Y$10), 0)</f>
        <v>9.6719999999999998E-4</v>
      </c>
      <c r="N176" s="15" t="s">
        <v>27</v>
      </c>
      <c r="O176" s="15" t="s">
        <v>27</v>
      </c>
    </row>
    <row r="177" spans="5:15">
      <c r="E177" s="60"/>
      <c r="F177" s="62"/>
      <c r="G177" s="62"/>
      <c r="H177" s="62"/>
      <c r="I177" s="62"/>
      <c r="K177" s="11" t="s">
        <v>23</v>
      </c>
      <c r="L177" s="15" t="s">
        <v>27</v>
      </c>
      <c r="M177" s="10">
        <f>SUM(M174:M176)</f>
        <v>9.6719999999999998E-4</v>
      </c>
      <c r="N177" s="17">
        <f>IF(Dashboard!$G$4="kWh", N174, N175)</f>
        <v>0.96719999999999995</v>
      </c>
      <c r="O177" s="17">
        <f>N177*Dashboard!$C$4</f>
        <v>0.96719999999999995</v>
      </c>
    </row>
    <row r="178" spans="5:15">
      <c r="E178" s="60"/>
      <c r="F178" s="61" t="s">
        <v>56</v>
      </c>
      <c r="G178" s="61" t="s">
        <v>57</v>
      </c>
      <c r="H178" s="62">
        <v>1.6052999999999999</v>
      </c>
      <c r="I178" s="62">
        <f>H178/($Y$10*$Y$5)</f>
        <v>8.0264999999999995E-7</v>
      </c>
    </row>
    <row r="179" spans="5:15" ht="64.5">
      <c r="E179" s="60"/>
      <c r="F179" s="62"/>
      <c r="G179" s="62"/>
      <c r="H179" s="62"/>
      <c r="I179" s="62"/>
      <c r="K179" s="14"/>
      <c r="L179" s="8" t="s">
        <v>30</v>
      </c>
      <c r="M179" s="8" t="s">
        <v>31</v>
      </c>
      <c r="N179" s="8" t="s">
        <v>32</v>
      </c>
      <c r="O179" s="8" t="s">
        <v>33</v>
      </c>
    </row>
    <row r="180" spans="5:15" ht="30">
      <c r="E180" s="60"/>
      <c r="F180" s="62"/>
      <c r="G180" s="62"/>
      <c r="H180" s="62"/>
      <c r="I180" s="62"/>
      <c r="K180" s="21" t="s">
        <v>34</v>
      </c>
      <c r="L180" s="18">
        <f>I178</f>
        <v>8.0264999999999995E-7</v>
      </c>
      <c r="M180" s="15" t="s">
        <v>27</v>
      </c>
      <c r="N180" s="19" t="str">
        <f>IF(Dashboard!$H$4="Metric Tons", (1/$G$128)*M180, M180)</f>
        <v>-</v>
      </c>
      <c r="O180" s="15" t="s">
        <v>27</v>
      </c>
    </row>
    <row r="181" spans="5:15">
      <c r="E181" s="60"/>
      <c r="F181" s="61"/>
      <c r="G181" s="61"/>
      <c r="H181" s="62"/>
      <c r="I181" s="62"/>
      <c r="K181" s="11" t="s">
        <v>25</v>
      </c>
      <c r="L181" s="15" t="s">
        <v>27</v>
      </c>
      <c r="M181" s="10">
        <f>IF(Dashboard!$C$8="tons", L180, 0)</f>
        <v>0</v>
      </c>
      <c r="N181" s="10">
        <f>M184</f>
        <v>1.6052999999999998E-3</v>
      </c>
      <c r="O181" s="15" t="s">
        <v>27</v>
      </c>
    </row>
    <row r="182" spans="5:15">
      <c r="E182" s="60"/>
      <c r="F182" s="61"/>
      <c r="G182" s="61"/>
      <c r="H182" s="61"/>
      <c r="I182" s="62"/>
      <c r="K182" s="11" t="s">
        <v>26</v>
      </c>
      <c r="L182" s="15" t="s">
        <v>27</v>
      </c>
      <c r="M182" s="10">
        <f>IF(Dashboard!$C$8="Metric Tons", (L180/$T$128), 0)</f>
        <v>0</v>
      </c>
      <c r="N182" s="16">
        <f>M184*1000</f>
        <v>1.6052999999999997</v>
      </c>
      <c r="O182" s="15" t="s">
        <v>27</v>
      </c>
    </row>
    <row r="183" spans="5:15">
      <c r="E183" s="60"/>
      <c r="F183" s="62"/>
      <c r="G183" s="61"/>
      <c r="H183" s="62"/>
      <c r="I183" s="62"/>
      <c r="K183" s="11" t="s">
        <v>22</v>
      </c>
      <c r="L183" s="15" t="s">
        <v>27</v>
      </c>
      <c r="M183" s="11">
        <f>IF(Dashboard!$C$8="Pounds", (L180*$Y$10), 0)</f>
        <v>1.6052999999999998E-3</v>
      </c>
      <c r="N183" s="15" t="s">
        <v>27</v>
      </c>
      <c r="O183" s="15" t="s">
        <v>27</v>
      </c>
    </row>
    <row r="184" spans="5:15">
      <c r="E184" s="60"/>
      <c r="F184" s="62"/>
      <c r="G184" s="61"/>
      <c r="H184" s="61"/>
      <c r="I184" s="62"/>
      <c r="K184" s="11" t="s">
        <v>23</v>
      </c>
      <c r="L184" s="15" t="s">
        <v>27</v>
      </c>
      <c r="M184" s="10">
        <f>SUM(M181:M183)</f>
        <v>1.6052999999999998E-3</v>
      </c>
      <c r="N184" s="17">
        <f>IF(Dashboard!$G$4="kWh", N181, N182)</f>
        <v>1.6052999999999997</v>
      </c>
      <c r="O184" s="17">
        <f>N184*Dashboard!$C$4</f>
        <v>1.6052999999999997</v>
      </c>
    </row>
    <row r="185" spans="5:15">
      <c r="E185" s="60"/>
      <c r="F185" s="61" t="s">
        <v>44</v>
      </c>
      <c r="G185" s="61" t="s">
        <v>57</v>
      </c>
      <c r="H185" s="61">
        <v>1134.8800000000001</v>
      </c>
      <c r="I185" s="62">
        <f>H185/($Y$10*$Y$5)</f>
        <v>5.6744E-4</v>
      </c>
    </row>
    <row r="186" spans="5:15" ht="64.5">
      <c r="E186" s="60"/>
      <c r="F186" s="62"/>
      <c r="G186" s="62"/>
      <c r="H186" s="62"/>
      <c r="I186" s="62"/>
      <c r="K186" s="14"/>
      <c r="L186" s="8" t="s">
        <v>30</v>
      </c>
      <c r="M186" s="8" t="s">
        <v>31</v>
      </c>
      <c r="N186" s="8" t="s">
        <v>32</v>
      </c>
      <c r="O186" s="8" t="s">
        <v>33</v>
      </c>
    </row>
    <row r="187" spans="5:15" ht="30">
      <c r="E187" s="60"/>
      <c r="F187" s="62"/>
      <c r="G187" s="62"/>
      <c r="H187" s="62"/>
      <c r="I187" s="62"/>
      <c r="K187" s="21" t="s">
        <v>34</v>
      </c>
      <c r="L187" s="18">
        <f>I185</f>
        <v>5.6744E-4</v>
      </c>
      <c r="M187" s="15" t="s">
        <v>27</v>
      </c>
      <c r="N187" s="19" t="str">
        <f>IF(Dashboard!$H$4="Metric Tons", (1/$G$128)*M187, M187)</f>
        <v>-</v>
      </c>
      <c r="O187" s="15" t="s">
        <v>27</v>
      </c>
    </row>
    <row r="188" spans="5:15">
      <c r="E188" s="60"/>
      <c r="F188" s="62"/>
      <c r="G188" s="61"/>
      <c r="H188" s="61"/>
      <c r="I188" s="62"/>
      <c r="K188" s="11" t="s">
        <v>25</v>
      </c>
      <c r="L188" s="15" t="s">
        <v>27</v>
      </c>
      <c r="M188" s="10">
        <f>IF(Dashboard!$C$8="tons", L187, 0)</f>
        <v>0</v>
      </c>
      <c r="N188" s="10">
        <f>M191</f>
        <v>1.1348800000000001</v>
      </c>
      <c r="O188" s="15" t="s">
        <v>27</v>
      </c>
    </row>
    <row r="189" spans="5:15">
      <c r="E189" s="60"/>
      <c r="F189" s="62"/>
      <c r="G189" s="61"/>
      <c r="H189" s="61"/>
      <c r="I189" s="62"/>
      <c r="K189" s="11" t="s">
        <v>26</v>
      </c>
      <c r="L189" s="15" t="s">
        <v>27</v>
      </c>
      <c r="M189" s="10">
        <f>IF(Dashboard!$C$8="Metric Tons", (L187/$T$128), 0)</f>
        <v>0</v>
      </c>
      <c r="N189" s="16">
        <f>M191*1000</f>
        <v>1134.8800000000001</v>
      </c>
      <c r="O189" s="15" t="s">
        <v>27</v>
      </c>
    </row>
    <row r="190" spans="5:15">
      <c r="E190" s="60"/>
      <c r="F190" s="62"/>
      <c r="G190" s="61"/>
      <c r="H190" s="61"/>
      <c r="I190" s="62"/>
      <c r="K190" s="11" t="s">
        <v>22</v>
      </c>
      <c r="L190" s="15" t="s">
        <v>27</v>
      </c>
      <c r="M190" s="11">
        <f>IF(Dashboard!$C$8="Pounds", (L187*$Y$10), 0)</f>
        <v>1.1348800000000001</v>
      </c>
      <c r="N190" s="15" t="s">
        <v>27</v>
      </c>
      <c r="O190" s="15" t="s">
        <v>27</v>
      </c>
    </row>
    <row r="191" spans="5:15">
      <c r="E191" s="60"/>
      <c r="F191" s="62"/>
      <c r="G191" s="62"/>
      <c r="H191" s="61"/>
      <c r="I191" s="62"/>
      <c r="K191" s="11" t="s">
        <v>23</v>
      </c>
      <c r="L191" s="15" t="s">
        <v>27</v>
      </c>
      <c r="M191" s="10">
        <f>SUM(M188:M190)</f>
        <v>1.1348800000000001</v>
      </c>
      <c r="N191" s="17">
        <f>IF(Dashboard!$G$4="kWh", N188, N189)</f>
        <v>1134.8800000000001</v>
      </c>
      <c r="O191" s="17">
        <f>N191*Dashboard!$C$4</f>
        <v>1134.8800000000001</v>
      </c>
    </row>
    <row r="192" spans="5:15">
      <c r="E192" s="60"/>
      <c r="F192" s="61" t="s">
        <v>54</v>
      </c>
      <c r="G192" s="61" t="s">
        <v>57</v>
      </c>
      <c r="H192" s="61">
        <v>5.8857999999999997</v>
      </c>
      <c r="I192" s="62">
        <f>H192/($Y$10*$Y$5)</f>
        <v>2.9428999999999998E-6</v>
      </c>
    </row>
    <row r="193" spans="5:15" ht="64.5">
      <c r="E193" s="60"/>
      <c r="F193" s="62"/>
      <c r="G193" s="62"/>
      <c r="H193" s="62"/>
      <c r="I193" s="62"/>
      <c r="K193" s="14"/>
      <c r="L193" s="8" t="s">
        <v>30</v>
      </c>
      <c r="M193" s="8" t="s">
        <v>31</v>
      </c>
      <c r="N193" s="8" t="s">
        <v>32</v>
      </c>
      <c r="O193" s="8" t="s">
        <v>33</v>
      </c>
    </row>
    <row r="194" spans="5:15" ht="30">
      <c r="E194" s="60"/>
      <c r="F194" s="62"/>
      <c r="G194" s="62"/>
      <c r="H194" s="62"/>
      <c r="I194" s="62"/>
      <c r="K194" s="21" t="s">
        <v>34</v>
      </c>
      <c r="L194" s="18">
        <f>I192</f>
        <v>2.9428999999999998E-6</v>
      </c>
      <c r="M194" s="15" t="s">
        <v>27</v>
      </c>
      <c r="N194" s="19" t="str">
        <f>IF(Dashboard!$H$4="Metric Tons", (1/$G$128)*M194, M194)</f>
        <v>-</v>
      </c>
      <c r="O194" s="15" t="s">
        <v>27</v>
      </c>
    </row>
    <row r="195" spans="5:15">
      <c r="E195" s="60"/>
      <c r="F195" s="62"/>
      <c r="G195" s="62"/>
      <c r="H195" s="62"/>
      <c r="I195" s="62"/>
      <c r="K195" s="11" t="s">
        <v>25</v>
      </c>
      <c r="L195" s="15" t="s">
        <v>27</v>
      </c>
      <c r="M195" s="10">
        <f>IF(Dashboard!$C$8="tons", L194, 0)</f>
        <v>0</v>
      </c>
      <c r="N195" s="10">
        <f>M198</f>
        <v>5.8857999999999992E-3</v>
      </c>
      <c r="O195" s="15" t="s">
        <v>27</v>
      </c>
    </row>
    <row r="196" spans="5:15">
      <c r="E196" s="60"/>
      <c r="F196" s="62"/>
      <c r="G196" s="62"/>
      <c r="H196" s="62"/>
      <c r="I196" s="62"/>
      <c r="K196" s="11" t="s">
        <v>26</v>
      </c>
      <c r="L196" s="15" t="s">
        <v>27</v>
      </c>
      <c r="M196" s="10">
        <f>IF(Dashboard!$C$8="Metric Tons", (L194/$T$128), 0)</f>
        <v>0</v>
      </c>
      <c r="N196" s="16">
        <f>M198*1000</f>
        <v>5.8857999999999988</v>
      </c>
      <c r="O196" s="15" t="s">
        <v>27</v>
      </c>
    </row>
    <row r="197" spans="5:15">
      <c r="E197" s="60"/>
      <c r="F197" s="62"/>
      <c r="G197" s="62"/>
      <c r="H197" s="62"/>
      <c r="I197" s="62"/>
      <c r="K197" s="11" t="s">
        <v>22</v>
      </c>
      <c r="L197" s="15" t="s">
        <v>27</v>
      </c>
      <c r="M197" s="11">
        <f>IF(Dashboard!$C$8="Pounds", (L194*$Y$10), 0)</f>
        <v>5.8857999999999992E-3</v>
      </c>
      <c r="N197" s="15" t="s">
        <v>27</v>
      </c>
      <c r="O197" s="15" t="s">
        <v>27</v>
      </c>
    </row>
    <row r="198" spans="5:15">
      <c r="E198" s="60"/>
      <c r="F198" s="62"/>
      <c r="G198" s="62"/>
      <c r="H198" s="62"/>
      <c r="I198" s="62"/>
      <c r="K198" s="11" t="s">
        <v>23</v>
      </c>
      <c r="L198" s="15" t="s">
        <v>27</v>
      </c>
      <c r="M198" s="10">
        <f>SUM(M195:M197)</f>
        <v>5.8857999999999992E-3</v>
      </c>
      <c r="N198" s="17">
        <f>IF(Dashboard!$G$4="kWh", N195, N196)</f>
        <v>5.8857999999999988</v>
      </c>
      <c r="O198" s="17">
        <f>N198*Dashboard!$C$4</f>
        <v>5.8857999999999988</v>
      </c>
    </row>
    <row r="199" spans="5:15">
      <c r="E199" s="60"/>
      <c r="F199" s="62"/>
      <c r="G199" s="62"/>
      <c r="H199" s="62"/>
      <c r="I199" s="62"/>
    </row>
    <row r="200" spans="5:15">
      <c r="E200" s="60"/>
      <c r="F200" s="62"/>
      <c r="G200" s="62"/>
      <c r="H200" s="62"/>
      <c r="I200" s="62"/>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sheetPr codeName="Sheet3"/>
  <dimension ref="A1:T198"/>
  <sheetViews>
    <sheetView zoomScale="85" zoomScaleNormal="85" workbookViewId="0">
      <selection activeCell="D73" sqref="D73"/>
    </sheetView>
  </sheetViews>
  <sheetFormatPr defaultRowHeight="18"/>
  <cols>
    <col min="1" max="1" width="15" style="64" customWidth="1"/>
    <col min="2" max="2" width="11.42578125" style="62" customWidth="1"/>
    <col min="3" max="3" width="14" style="62" customWidth="1"/>
    <col min="4" max="4" width="10.85546875" style="62" customWidth="1"/>
    <col min="5" max="5" width="16.140625" style="62" customWidth="1"/>
    <col min="7" max="7" width="13.140625" customWidth="1"/>
    <col min="8" max="8" width="16.140625" customWidth="1"/>
    <col min="9" max="9" width="16.5703125" customWidth="1"/>
    <col min="10" max="10" width="16.7109375" customWidth="1"/>
    <col min="11" max="11" width="14.7109375" customWidth="1"/>
    <col min="20" max="20" width="12.7109375" customWidth="1"/>
  </cols>
  <sheetData>
    <row r="1" spans="1:11" ht="38.25">
      <c r="A1" s="55" t="s">
        <v>49</v>
      </c>
      <c r="B1" s="55" t="s">
        <v>16</v>
      </c>
      <c r="C1" s="55" t="s">
        <v>55</v>
      </c>
      <c r="D1" s="55" t="s">
        <v>58</v>
      </c>
      <c r="E1" s="55" t="s">
        <v>59</v>
      </c>
      <c r="F1" s="36"/>
      <c r="G1" s="36"/>
      <c r="H1" s="36"/>
      <c r="I1" s="36"/>
      <c r="J1" s="36"/>
      <c r="K1" s="36"/>
    </row>
    <row r="2" spans="1:11">
      <c r="A2" s="56"/>
      <c r="B2" s="57"/>
      <c r="C2" s="58"/>
      <c r="D2" s="59"/>
      <c r="E2" s="57"/>
      <c r="F2" s="37"/>
      <c r="G2" s="37"/>
      <c r="H2" s="37"/>
      <c r="I2" s="37"/>
      <c r="J2" s="37"/>
      <c r="K2" s="37"/>
    </row>
    <row r="3" spans="1:11" ht="63" customHeight="1">
      <c r="A3" s="60" t="s">
        <v>46</v>
      </c>
      <c r="B3" s="61" t="s">
        <v>56</v>
      </c>
      <c r="C3" s="61" t="s">
        <v>0</v>
      </c>
      <c r="D3" s="61">
        <v>3.4464000000000001</v>
      </c>
      <c r="E3" s="62">
        <f>D3/($T$130*$T$125)</f>
        <v>1.7232000000000001E-6</v>
      </c>
      <c r="F3" s="34"/>
      <c r="G3" s="14"/>
      <c r="H3" s="8" t="s">
        <v>30</v>
      </c>
      <c r="I3" s="8" t="s">
        <v>31</v>
      </c>
      <c r="J3" s="8" t="s">
        <v>32</v>
      </c>
      <c r="K3" s="8" t="s">
        <v>33</v>
      </c>
    </row>
    <row r="4" spans="1:11" ht="30">
      <c r="A4" s="60"/>
      <c r="F4" s="34"/>
      <c r="G4" s="21" t="s">
        <v>61</v>
      </c>
      <c r="H4" s="18">
        <f>E3</f>
        <v>1.7232000000000001E-6</v>
      </c>
      <c r="I4" s="15" t="s">
        <v>27</v>
      </c>
      <c r="J4" s="19" t="str">
        <f>IF(Dashboard!$H$4="Metric Tons", (1/$C$128)*I4, I4)</f>
        <v>-</v>
      </c>
      <c r="K4" s="15" t="s">
        <v>27</v>
      </c>
    </row>
    <row r="5" spans="1:11">
      <c r="A5" s="60"/>
      <c r="F5" s="34"/>
      <c r="G5" s="11" t="s">
        <v>25</v>
      </c>
      <c r="H5" s="15" t="s">
        <v>27</v>
      </c>
      <c r="I5" s="10">
        <f>IF(Dashboard!$C$8="tons", H4, 0)</f>
        <v>0</v>
      </c>
      <c r="J5" s="10">
        <f>I8</f>
        <v>3.4464000000000001E-3</v>
      </c>
      <c r="K5" s="15" t="s">
        <v>27</v>
      </c>
    </row>
    <row r="6" spans="1:11">
      <c r="A6" s="60"/>
      <c r="F6" s="34"/>
      <c r="G6" s="11" t="s">
        <v>26</v>
      </c>
      <c r="H6" s="15" t="s">
        <v>27</v>
      </c>
      <c r="I6" s="10">
        <f>IF(Dashboard!$C$8="Metric Tons", (H4/$T$128), 0)</f>
        <v>0</v>
      </c>
      <c r="J6" s="16">
        <f>I8*1000</f>
        <v>3.4464000000000001</v>
      </c>
      <c r="K6" s="15" t="s">
        <v>27</v>
      </c>
    </row>
    <row r="7" spans="1:11">
      <c r="A7" s="60"/>
      <c r="C7" s="61"/>
      <c r="F7" s="34"/>
      <c r="G7" s="11" t="s">
        <v>22</v>
      </c>
      <c r="H7" s="15" t="s">
        <v>27</v>
      </c>
      <c r="I7" s="11">
        <f>IF(Dashboard!$C$8="Pounds", (H4*$T$130), 0)</f>
        <v>3.4464000000000001E-3</v>
      </c>
      <c r="J7" s="15" t="s">
        <v>27</v>
      </c>
      <c r="K7" s="15" t="s">
        <v>27</v>
      </c>
    </row>
    <row r="8" spans="1:11">
      <c r="A8" s="60"/>
      <c r="F8" s="34"/>
      <c r="G8" s="11" t="s">
        <v>23</v>
      </c>
      <c r="H8" s="15" t="s">
        <v>27</v>
      </c>
      <c r="I8" s="10">
        <f>SUM(I5:I7)</f>
        <v>3.4464000000000001E-3</v>
      </c>
      <c r="J8" s="17">
        <f>IF(Dashboard!$G$4="kWh", J5, J6)</f>
        <v>3.4464000000000001</v>
      </c>
      <c r="K8" s="17">
        <f>J8*Dashboard!$C$4</f>
        <v>3.4464000000000001</v>
      </c>
    </row>
    <row r="9" spans="1:11">
      <c r="A9" s="60"/>
      <c r="F9" s="34"/>
      <c r="G9" s="34"/>
      <c r="H9" s="34"/>
      <c r="I9" s="34"/>
      <c r="J9" s="34"/>
      <c r="K9" s="34"/>
    </row>
    <row r="10" spans="1:11" ht="62.25" customHeight="1">
      <c r="A10" s="60"/>
      <c r="B10" s="61" t="s">
        <v>56</v>
      </c>
      <c r="C10" s="61" t="s">
        <v>57</v>
      </c>
      <c r="D10" s="61">
        <v>3.6358000000000001</v>
      </c>
      <c r="E10" s="62">
        <f>D10/($T$130*$T$125)</f>
        <v>1.8179E-6</v>
      </c>
      <c r="F10" s="34"/>
      <c r="G10" s="14"/>
      <c r="H10" s="8" t="s">
        <v>30</v>
      </c>
      <c r="I10" s="8" t="s">
        <v>31</v>
      </c>
      <c r="J10" s="8" t="s">
        <v>32</v>
      </c>
      <c r="K10" s="8" t="s">
        <v>33</v>
      </c>
    </row>
    <row r="11" spans="1:11" ht="30">
      <c r="A11" s="60"/>
      <c r="F11" s="34"/>
      <c r="G11" s="21" t="s">
        <v>61</v>
      </c>
      <c r="H11" s="18">
        <f>E10</f>
        <v>1.8179E-6</v>
      </c>
      <c r="I11" s="15" t="s">
        <v>27</v>
      </c>
      <c r="J11" s="19" t="str">
        <f>IF(Dashboard!$H$4="Metric Tons", (1/$C$128)*I11, I11)</f>
        <v>-</v>
      </c>
      <c r="K11" s="15" t="s">
        <v>27</v>
      </c>
    </row>
    <row r="12" spans="1:11">
      <c r="A12" s="60"/>
      <c r="F12" s="34"/>
      <c r="G12" s="11" t="s">
        <v>25</v>
      </c>
      <c r="H12" s="15" t="s">
        <v>27</v>
      </c>
      <c r="I12" s="10">
        <f>IF(Dashboard!$C$8="tons", H11, 0)</f>
        <v>0</v>
      </c>
      <c r="J12" s="10">
        <f>I15</f>
        <v>3.6357999999999998E-3</v>
      </c>
      <c r="K12" s="15" t="s">
        <v>27</v>
      </c>
    </row>
    <row r="13" spans="1:11">
      <c r="A13" s="60"/>
      <c r="B13" s="61"/>
      <c r="C13" s="61"/>
      <c r="F13" s="34"/>
      <c r="G13" s="11" t="s">
        <v>26</v>
      </c>
      <c r="H13" s="15" t="s">
        <v>27</v>
      </c>
      <c r="I13" s="10">
        <f>IF(Dashboard!$C$8="Metric Tons", (H11/$T$128), 0)</f>
        <v>0</v>
      </c>
      <c r="J13" s="16">
        <f>I15*1000</f>
        <v>3.6357999999999997</v>
      </c>
      <c r="K13" s="15" t="s">
        <v>27</v>
      </c>
    </row>
    <row r="14" spans="1:11">
      <c r="A14" s="60"/>
      <c r="B14" s="61"/>
      <c r="C14" s="61"/>
      <c r="D14" s="61"/>
      <c r="F14" s="34"/>
      <c r="G14" s="11" t="s">
        <v>22</v>
      </c>
      <c r="H14" s="15" t="s">
        <v>27</v>
      </c>
      <c r="I14" s="11">
        <f>IF(Dashboard!$C$8="Pounds", (H11*$T$130), 0)</f>
        <v>3.6357999999999998E-3</v>
      </c>
      <c r="J14" s="15" t="s">
        <v>27</v>
      </c>
      <c r="K14" s="15" t="s">
        <v>27</v>
      </c>
    </row>
    <row r="15" spans="1:11">
      <c r="A15" s="60"/>
      <c r="C15" s="61"/>
      <c r="F15" s="34"/>
      <c r="G15" s="11" t="s">
        <v>23</v>
      </c>
      <c r="H15" s="15" t="s">
        <v>27</v>
      </c>
      <c r="I15" s="10">
        <f>SUM(I12:I14)</f>
        <v>3.6357999999999998E-3</v>
      </c>
      <c r="J15" s="17">
        <f>IF(Dashboard!$G$4="kWh", J12, J13)</f>
        <v>3.6357999999999997</v>
      </c>
      <c r="K15" s="17">
        <f>J15*Dashboard!$C$4</f>
        <v>3.6357999999999997</v>
      </c>
    </row>
    <row r="16" spans="1:11">
      <c r="A16" s="60"/>
      <c r="C16" s="61"/>
      <c r="D16" s="61"/>
      <c r="F16" s="34"/>
      <c r="G16" s="34"/>
      <c r="H16" s="34"/>
      <c r="I16" s="34"/>
      <c r="J16" s="34"/>
      <c r="K16" s="34"/>
    </row>
    <row r="17" spans="1:11" ht="68.25" customHeight="1">
      <c r="A17" s="60"/>
      <c r="B17" s="61" t="s">
        <v>44</v>
      </c>
      <c r="C17" s="61" t="s">
        <v>57</v>
      </c>
      <c r="D17" s="61">
        <v>2432.3015</v>
      </c>
      <c r="E17" s="62">
        <f>D17/($T$130*$T$125)</f>
        <v>1.2161507500000001E-3</v>
      </c>
      <c r="F17" s="34"/>
      <c r="G17" s="14"/>
      <c r="H17" s="8" t="s">
        <v>30</v>
      </c>
      <c r="I17" s="8" t="s">
        <v>31</v>
      </c>
      <c r="J17" s="8" t="s">
        <v>32</v>
      </c>
      <c r="K17" s="8" t="s">
        <v>33</v>
      </c>
    </row>
    <row r="18" spans="1:11" ht="30">
      <c r="A18" s="60"/>
      <c r="F18" s="34"/>
      <c r="G18" s="21" t="s">
        <v>61</v>
      </c>
      <c r="H18" s="18">
        <f>E17</f>
        <v>1.2161507500000001E-3</v>
      </c>
      <c r="I18" s="15" t="s">
        <v>27</v>
      </c>
      <c r="J18" s="19" t="str">
        <f>IF(Dashboard!$H$4="Metric Tons", (1/$C$128)*I18, I18)</f>
        <v>-</v>
      </c>
      <c r="K18" s="15" t="s">
        <v>27</v>
      </c>
    </row>
    <row r="19" spans="1:11">
      <c r="A19" s="60"/>
      <c r="F19" s="34"/>
      <c r="G19" s="11" t="s">
        <v>25</v>
      </c>
      <c r="H19" s="15" t="s">
        <v>27</v>
      </c>
      <c r="I19" s="10">
        <f>IF(Dashboard!$C$8="tons", H18, 0)</f>
        <v>0</v>
      </c>
      <c r="J19" s="10">
        <f>I22</f>
        <v>2.4323015000000003</v>
      </c>
      <c r="K19" s="15" t="s">
        <v>27</v>
      </c>
    </row>
    <row r="20" spans="1:11">
      <c r="A20" s="60"/>
      <c r="C20" s="61"/>
      <c r="D20" s="61"/>
      <c r="F20" s="34"/>
      <c r="G20" s="11" t="s">
        <v>26</v>
      </c>
      <c r="H20" s="15" t="s">
        <v>27</v>
      </c>
      <c r="I20" s="10">
        <f>IF(Dashboard!$C$8="Metric Tons", (H18/$T$128), 0)</f>
        <v>0</v>
      </c>
      <c r="J20" s="16">
        <f>I22*1000</f>
        <v>2432.3015000000005</v>
      </c>
      <c r="K20" s="15" t="s">
        <v>27</v>
      </c>
    </row>
    <row r="21" spans="1:11">
      <c r="A21" s="60"/>
      <c r="C21" s="61"/>
      <c r="D21" s="61"/>
      <c r="F21" s="34"/>
      <c r="G21" s="11" t="s">
        <v>22</v>
      </c>
      <c r="H21" s="15" t="s">
        <v>27</v>
      </c>
      <c r="I21" s="11">
        <f>IF(Dashboard!$C$8="Pounds", (H18*$T$130), 0)</f>
        <v>2.4323015000000003</v>
      </c>
      <c r="J21" s="15" t="s">
        <v>27</v>
      </c>
      <c r="K21" s="15" t="s">
        <v>27</v>
      </c>
    </row>
    <row r="22" spans="1:11">
      <c r="A22" s="60"/>
      <c r="C22" s="61"/>
      <c r="D22" s="61"/>
      <c r="F22" s="34"/>
      <c r="G22" s="11" t="s">
        <v>23</v>
      </c>
      <c r="H22" s="15" t="s">
        <v>27</v>
      </c>
      <c r="I22" s="10">
        <f>SUM(I19:I21)</f>
        <v>2.4323015000000003</v>
      </c>
      <c r="J22" s="17">
        <f>IF(Dashboard!$G$4="kWh", J19, J20)</f>
        <v>2432.3015000000005</v>
      </c>
      <c r="K22" s="17">
        <f>J22*Dashboard!$C$4</f>
        <v>2432.3015000000005</v>
      </c>
    </row>
    <row r="23" spans="1:11">
      <c r="A23" s="60"/>
      <c r="D23" s="61"/>
      <c r="F23" s="34"/>
      <c r="G23" s="34"/>
      <c r="H23" s="34"/>
      <c r="I23" s="34"/>
      <c r="J23" s="34"/>
      <c r="K23" s="34"/>
    </row>
    <row r="24" spans="1:11" ht="54.75" customHeight="1">
      <c r="A24" s="60"/>
      <c r="B24" s="61" t="s">
        <v>54</v>
      </c>
      <c r="C24" s="61" t="s">
        <v>57</v>
      </c>
      <c r="D24" s="61">
        <v>8.09</v>
      </c>
      <c r="E24" s="62">
        <f>D24/($T$130*$T$125)</f>
        <v>4.0450000000000002E-6</v>
      </c>
      <c r="F24" s="34"/>
      <c r="G24" s="14"/>
      <c r="H24" s="8" t="s">
        <v>30</v>
      </c>
      <c r="I24" s="8" t="s">
        <v>31</v>
      </c>
      <c r="J24" s="8" t="s">
        <v>32</v>
      </c>
      <c r="K24" s="8" t="s">
        <v>33</v>
      </c>
    </row>
    <row r="25" spans="1:11" ht="30">
      <c r="A25" s="60"/>
      <c r="F25" s="34"/>
      <c r="G25" s="21" t="s">
        <v>61</v>
      </c>
      <c r="H25" s="18">
        <f>E24</f>
        <v>4.0450000000000002E-6</v>
      </c>
      <c r="I25" s="15" t="s">
        <v>27</v>
      </c>
      <c r="J25" s="19" t="str">
        <f>IF(Dashboard!$H$4="Metric Tons", (1/$C$128)*I25, I25)</f>
        <v>-</v>
      </c>
      <c r="K25" s="15" t="s">
        <v>27</v>
      </c>
    </row>
    <row r="26" spans="1:11">
      <c r="A26" s="60"/>
      <c r="F26" s="34"/>
      <c r="G26" s="11" t="s">
        <v>25</v>
      </c>
      <c r="H26" s="15" t="s">
        <v>27</v>
      </c>
      <c r="I26" s="10">
        <f>IF(Dashboard!$C$8="tons", H25, 0)</f>
        <v>0</v>
      </c>
      <c r="J26" s="10">
        <f>I29</f>
        <v>8.09E-3</v>
      </c>
      <c r="K26" s="15" t="s">
        <v>27</v>
      </c>
    </row>
    <row r="27" spans="1:11">
      <c r="A27" s="60"/>
      <c r="F27" s="34"/>
      <c r="G27" s="11" t="s">
        <v>26</v>
      </c>
      <c r="H27" s="15" t="s">
        <v>27</v>
      </c>
      <c r="I27" s="10">
        <f>IF(Dashboard!$C$8="Metric Tons", (H25/$T$128), 0)</f>
        <v>0</v>
      </c>
      <c r="J27" s="16">
        <f>I29*1000</f>
        <v>8.09</v>
      </c>
      <c r="K27" s="15" t="s">
        <v>27</v>
      </c>
    </row>
    <row r="28" spans="1:11">
      <c r="A28" s="60"/>
      <c r="F28" s="34"/>
      <c r="G28" s="11" t="s">
        <v>22</v>
      </c>
      <c r="H28" s="15" t="s">
        <v>27</v>
      </c>
      <c r="I28" s="11">
        <f>IF(Dashboard!$C$8="Pounds", (H25*$T$130), 0)</f>
        <v>8.09E-3</v>
      </c>
      <c r="J28" s="15" t="s">
        <v>27</v>
      </c>
      <c r="K28" s="15" t="s">
        <v>27</v>
      </c>
    </row>
    <row r="29" spans="1:11">
      <c r="A29" s="60"/>
      <c r="F29" s="34"/>
      <c r="G29" s="11" t="s">
        <v>23</v>
      </c>
      <c r="H29" s="15" t="s">
        <v>27</v>
      </c>
      <c r="I29" s="10">
        <f>SUM(I26:I28)</f>
        <v>8.09E-3</v>
      </c>
      <c r="J29" s="17">
        <f>IF(Dashboard!$G$4="kWh", J26, J27)</f>
        <v>8.09</v>
      </c>
      <c r="K29" s="17">
        <f>J29*Dashboard!$C$4</f>
        <v>8.09</v>
      </c>
    </row>
    <row r="30" spans="1:11">
      <c r="A30" s="60"/>
      <c r="F30" s="34"/>
      <c r="G30" s="34"/>
      <c r="H30" s="34"/>
      <c r="I30" s="34"/>
      <c r="J30" s="34"/>
      <c r="K30" s="34"/>
    </row>
    <row r="31" spans="1:11" ht="15.75" customHeight="1">
      <c r="A31" s="60" t="s">
        <v>50</v>
      </c>
      <c r="B31" s="61" t="s">
        <v>56</v>
      </c>
      <c r="C31" s="61" t="s">
        <v>0</v>
      </c>
      <c r="D31" s="61">
        <v>3.2551000000000001</v>
      </c>
      <c r="E31" s="62">
        <f>D31/($T$130*$T$125)</f>
        <v>1.62755E-6</v>
      </c>
      <c r="F31" s="34"/>
    </row>
    <row r="32" spans="1:11" ht="64.5">
      <c r="A32" s="60"/>
      <c r="F32" s="34"/>
      <c r="G32" s="14"/>
      <c r="H32" s="8" t="s">
        <v>30</v>
      </c>
      <c r="I32" s="8" t="s">
        <v>31</v>
      </c>
      <c r="J32" s="8" t="s">
        <v>32</v>
      </c>
      <c r="K32" s="8" t="s">
        <v>33</v>
      </c>
    </row>
    <row r="33" spans="1:11" ht="45">
      <c r="A33" s="60"/>
      <c r="F33" s="34"/>
      <c r="G33" s="21" t="s">
        <v>34</v>
      </c>
      <c r="H33" s="18">
        <f>E31</f>
        <v>1.62755E-6</v>
      </c>
      <c r="I33" s="15" t="s">
        <v>27</v>
      </c>
      <c r="J33" s="19" t="str">
        <f>IF(Dashboard!$H$4="Metric Tons", (1/$C$128)*I33, I33)</f>
        <v>-</v>
      </c>
      <c r="K33" s="15" t="s">
        <v>27</v>
      </c>
    </row>
    <row r="34" spans="1:11">
      <c r="A34" s="60"/>
      <c r="F34" s="34"/>
      <c r="G34" s="11" t="s">
        <v>25</v>
      </c>
      <c r="H34" s="15" t="s">
        <v>27</v>
      </c>
      <c r="I34" s="10">
        <f>IF(Dashboard!$C$8="tons", H33, 0)</f>
        <v>0</v>
      </c>
      <c r="J34" s="10">
        <f>I37</f>
        <v>3.2550999999999999E-3</v>
      </c>
      <c r="K34" s="15" t="s">
        <v>27</v>
      </c>
    </row>
    <row r="35" spans="1:11">
      <c r="A35" s="60"/>
      <c r="C35" s="61"/>
      <c r="F35" s="34"/>
      <c r="G35" s="11" t="s">
        <v>26</v>
      </c>
      <c r="H35" s="15" t="s">
        <v>27</v>
      </c>
      <c r="I35" s="10">
        <f>IF(Dashboard!$C$8="Metric Tons", (H33/$T$128), 0)</f>
        <v>0</v>
      </c>
      <c r="J35" s="16">
        <f>I37*1000</f>
        <v>3.2551000000000001</v>
      </c>
      <c r="K35" s="15" t="s">
        <v>27</v>
      </c>
    </row>
    <row r="36" spans="1:11">
      <c r="A36" s="60"/>
      <c r="F36" s="34"/>
      <c r="G36" s="11" t="s">
        <v>22</v>
      </c>
      <c r="H36" s="15" t="s">
        <v>27</v>
      </c>
      <c r="I36" s="11">
        <f>IF(Dashboard!$C$8="Pounds", (H33*$T$130), 0)</f>
        <v>3.2550999999999999E-3</v>
      </c>
      <c r="J36" s="15" t="s">
        <v>27</v>
      </c>
      <c r="K36" s="15" t="s">
        <v>27</v>
      </c>
    </row>
    <row r="37" spans="1:11">
      <c r="A37" s="60"/>
      <c r="F37" s="34"/>
      <c r="G37" s="11" t="s">
        <v>23</v>
      </c>
      <c r="H37" s="15" t="s">
        <v>27</v>
      </c>
      <c r="I37" s="10">
        <f>SUM(I34:I36)</f>
        <v>3.2550999999999999E-3</v>
      </c>
      <c r="J37" s="17">
        <f>IF(Dashboard!$G$4="kWh", J34, J35)</f>
        <v>3.2551000000000001</v>
      </c>
      <c r="K37" s="17">
        <f>J37*Dashboard!$C$4</f>
        <v>3.2551000000000001</v>
      </c>
    </row>
    <row r="38" spans="1:11" ht="18.75" customHeight="1">
      <c r="A38" s="60"/>
      <c r="B38" s="61" t="s">
        <v>56</v>
      </c>
      <c r="C38" s="61" t="s">
        <v>57</v>
      </c>
      <c r="D38" s="61">
        <v>3.7522000000000002</v>
      </c>
      <c r="E38" s="62">
        <f>D38/($T$130*$T$125)</f>
        <v>1.8761000000000001E-6</v>
      </c>
      <c r="F38" s="34"/>
      <c r="G38" s="34"/>
      <c r="H38" s="34"/>
      <c r="I38" s="34"/>
      <c r="J38" s="34"/>
      <c r="K38" s="34"/>
    </row>
    <row r="39" spans="1:11" ht="64.5">
      <c r="A39" s="60"/>
      <c r="F39" s="34"/>
      <c r="G39" s="14"/>
      <c r="H39" s="8" t="s">
        <v>30</v>
      </c>
      <c r="I39" s="8" t="s">
        <v>31</v>
      </c>
      <c r="J39" s="8" t="s">
        <v>32</v>
      </c>
      <c r="K39" s="8" t="s">
        <v>33</v>
      </c>
    </row>
    <row r="40" spans="1:11" ht="30">
      <c r="A40" s="60"/>
      <c r="F40" s="34"/>
      <c r="G40" s="21" t="s">
        <v>61</v>
      </c>
      <c r="H40" s="18">
        <f>E38</f>
        <v>1.8761000000000001E-6</v>
      </c>
      <c r="I40" s="15" t="s">
        <v>27</v>
      </c>
      <c r="J40" s="19" t="str">
        <f>IF(Dashboard!$H$4="Metric Tons", (1/$C$128)*I40, I40)</f>
        <v>-</v>
      </c>
      <c r="K40" s="15" t="s">
        <v>27</v>
      </c>
    </row>
    <row r="41" spans="1:11">
      <c r="A41" s="60"/>
      <c r="B41" s="61"/>
      <c r="C41" s="61"/>
      <c r="F41" s="34"/>
      <c r="G41" s="11" t="s">
        <v>25</v>
      </c>
      <c r="H41" s="15" t="s">
        <v>27</v>
      </c>
      <c r="I41" s="10">
        <f>IF(Dashboard!$C$8="tons", H40, 0)</f>
        <v>0</v>
      </c>
      <c r="J41" s="10">
        <f>I44</f>
        <v>3.7522000000000002E-3</v>
      </c>
      <c r="K41" s="15" t="s">
        <v>27</v>
      </c>
    </row>
    <row r="42" spans="1:11">
      <c r="A42" s="60"/>
      <c r="B42" s="61"/>
      <c r="C42" s="61"/>
      <c r="D42" s="61"/>
      <c r="F42" s="34"/>
      <c r="G42" s="11" t="s">
        <v>26</v>
      </c>
      <c r="H42" s="15" t="s">
        <v>27</v>
      </c>
      <c r="I42" s="10">
        <f>IF(Dashboard!$C$8="Metric Tons", (H40/$T$128), 0)</f>
        <v>0</v>
      </c>
      <c r="J42" s="16">
        <f>I44*1000</f>
        <v>3.7522000000000002</v>
      </c>
      <c r="K42" s="15" t="s">
        <v>27</v>
      </c>
    </row>
    <row r="43" spans="1:11">
      <c r="A43" s="60"/>
      <c r="C43" s="61"/>
      <c r="F43" s="34"/>
      <c r="G43" s="11" t="s">
        <v>22</v>
      </c>
      <c r="H43" s="15" t="s">
        <v>27</v>
      </c>
      <c r="I43" s="11">
        <f>IF(Dashboard!$C$8="Pounds", (H40*$T$130), 0)</f>
        <v>3.7522000000000002E-3</v>
      </c>
      <c r="J43" s="15" t="s">
        <v>27</v>
      </c>
      <c r="K43" s="15" t="s">
        <v>27</v>
      </c>
    </row>
    <row r="44" spans="1:11">
      <c r="A44" s="60"/>
      <c r="C44" s="61"/>
      <c r="D44" s="61"/>
      <c r="F44" s="34"/>
      <c r="G44" s="11" t="s">
        <v>23</v>
      </c>
      <c r="H44" s="15" t="s">
        <v>27</v>
      </c>
      <c r="I44" s="10">
        <f>SUM(I41:I43)</f>
        <v>3.7522000000000002E-3</v>
      </c>
      <c r="J44" s="17">
        <f>IF(Dashboard!$G$4="kWh", J41, J42)</f>
        <v>3.7522000000000002</v>
      </c>
      <c r="K44" s="17">
        <f>J44*Dashboard!$C$4</f>
        <v>3.7522000000000002</v>
      </c>
    </row>
    <row r="45" spans="1:11" ht="15" customHeight="1">
      <c r="A45" s="60"/>
      <c r="B45" s="61" t="s">
        <v>44</v>
      </c>
      <c r="C45" s="61" t="s">
        <v>57</v>
      </c>
      <c r="D45" s="61">
        <v>1964.52</v>
      </c>
      <c r="E45" s="62">
        <f>D45/($T$130*$T$125)</f>
        <v>9.8225999999999999E-4</v>
      </c>
      <c r="F45" s="34"/>
      <c r="G45" s="34"/>
      <c r="H45" s="34"/>
      <c r="I45" s="34"/>
      <c r="J45" s="34"/>
      <c r="K45" s="34"/>
    </row>
    <row r="46" spans="1:11" ht="64.5">
      <c r="A46" s="60"/>
      <c r="F46" s="34"/>
      <c r="G46" s="14"/>
      <c r="H46" s="8" t="s">
        <v>30</v>
      </c>
      <c r="I46" s="8" t="s">
        <v>31</v>
      </c>
      <c r="J46" s="8" t="s">
        <v>32</v>
      </c>
      <c r="K46" s="8" t="s">
        <v>33</v>
      </c>
    </row>
    <row r="47" spans="1:11" ht="30">
      <c r="A47" s="60"/>
      <c r="F47" s="34"/>
      <c r="G47" s="21" t="s">
        <v>61</v>
      </c>
      <c r="H47" s="18">
        <f>E45</f>
        <v>9.8225999999999999E-4</v>
      </c>
      <c r="I47" s="15" t="s">
        <v>27</v>
      </c>
      <c r="J47" s="19" t="str">
        <f>IF(Dashboard!$H$4="Metric Tons", (1/$C$128)*I47, I47)</f>
        <v>-</v>
      </c>
      <c r="K47" s="15" t="s">
        <v>27</v>
      </c>
    </row>
    <row r="48" spans="1:11">
      <c r="A48" s="60"/>
      <c r="C48" s="61"/>
      <c r="D48" s="61"/>
      <c r="F48" s="34"/>
      <c r="G48" s="11" t="s">
        <v>25</v>
      </c>
      <c r="H48" s="15" t="s">
        <v>27</v>
      </c>
      <c r="I48" s="10">
        <f>IF(Dashboard!$C$8="tons", H47, 0)</f>
        <v>0</v>
      </c>
      <c r="J48" s="10">
        <f>I51</f>
        <v>1.96452</v>
      </c>
      <c r="K48" s="15" t="s">
        <v>27</v>
      </c>
    </row>
    <row r="49" spans="1:11">
      <c r="A49" s="60"/>
      <c r="C49" s="61"/>
      <c r="D49" s="61"/>
      <c r="F49" s="34"/>
      <c r="G49" s="11" t="s">
        <v>26</v>
      </c>
      <c r="H49" s="15" t="s">
        <v>27</v>
      </c>
      <c r="I49" s="10">
        <f>IF(Dashboard!$C$8="Metric Tons", (H47/$T$128), 0)</f>
        <v>0</v>
      </c>
      <c r="J49" s="16">
        <f>I51*1000</f>
        <v>1964.52</v>
      </c>
      <c r="K49" s="15" t="s">
        <v>27</v>
      </c>
    </row>
    <row r="50" spans="1:11">
      <c r="A50" s="60"/>
      <c r="C50" s="61"/>
      <c r="D50" s="61"/>
      <c r="F50" s="34"/>
      <c r="G50" s="11" t="s">
        <v>22</v>
      </c>
      <c r="H50" s="15" t="s">
        <v>27</v>
      </c>
      <c r="I50" s="11">
        <f>IF(Dashboard!$C$8="Pounds", (H47*$T$130), 0)</f>
        <v>1.96452</v>
      </c>
      <c r="J50" s="15" t="s">
        <v>27</v>
      </c>
      <c r="K50" s="15" t="s">
        <v>27</v>
      </c>
    </row>
    <row r="51" spans="1:11">
      <c r="A51" s="60"/>
      <c r="D51" s="61"/>
      <c r="F51" s="34"/>
      <c r="G51" s="11" t="s">
        <v>23</v>
      </c>
      <c r="H51" s="15" t="s">
        <v>27</v>
      </c>
      <c r="I51" s="10">
        <f>SUM(I48:I50)</f>
        <v>1.96452</v>
      </c>
      <c r="J51" s="17">
        <f>IF(Dashboard!$G$4="kWh", J48, J49)</f>
        <v>1964.52</v>
      </c>
      <c r="K51" s="17">
        <f>J51*Dashboard!$C$4</f>
        <v>1964.52</v>
      </c>
    </row>
    <row r="52" spans="1:11" ht="17.25" customHeight="1">
      <c r="A52" s="60"/>
      <c r="B52" s="61" t="s">
        <v>54</v>
      </c>
      <c r="C52" s="61" t="s">
        <v>57</v>
      </c>
      <c r="D52" s="61">
        <v>17.1892</v>
      </c>
      <c r="E52" s="62">
        <f>D52/($T$130*$T$125)</f>
        <v>8.594599999999999E-6</v>
      </c>
      <c r="F52" s="34"/>
      <c r="G52" s="34"/>
      <c r="H52" s="34"/>
      <c r="I52" s="34"/>
      <c r="J52" s="34"/>
      <c r="K52" s="34"/>
    </row>
    <row r="53" spans="1:11" ht="64.5">
      <c r="A53" s="60"/>
      <c r="F53" s="34"/>
      <c r="G53" s="14"/>
      <c r="H53" s="8" t="s">
        <v>30</v>
      </c>
      <c r="I53" s="8" t="s">
        <v>31</v>
      </c>
      <c r="J53" s="8" t="s">
        <v>32</v>
      </c>
      <c r="K53" s="8" t="s">
        <v>33</v>
      </c>
    </row>
    <row r="54" spans="1:11" ht="30">
      <c r="A54" s="60"/>
      <c r="F54" s="34"/>
      <c r="G54" s="21" t="s">
        <v>61</v>
      </c>
      <c r="H54" s="18">
        <f>E52</f>
        <v>8.594599999999999E-6</v>
      </c>
      <c r="I54" s="15" t="s">
        <v>27</v>
      </c>
      <c r="J54" s="19" t="str">
        <f>IF(Dashboard!$H$4="Metric Tons", (1/$C$128)*I54, I54)</f>
        <v>-</v>
      </c>
      <c r="K54" s="15" t="s">
        <v>27</v>
      </c>
    </row>
    <row r="55" spans="1:11">
      <c r="A55" s="60"/>
      <c r="F55" s="34"/>
      <c r="G55" s="11" t="s">
        <v>25</v>
      </c>
      <c r="H55" s="15" t="s">
        <v>27</v>
      </c>
      <c r="I55" s="10">
        <f>IF(Dashboard!$C$8="tons", H54, 0)</f>
        <v>0</v>
      </c>
      <c r="J55" s="10">
        <f>I58</f>
        <v>1.7189199999999998E-2</v>
      </c>
      <c r="K55" s="15" t="s">
        <v>27</v>
      </c>
    </row>
    <row r="56" spans="1:11">
      <c r="A56" s="60"/>
      <c r="F56" s="34"/>
      <c r="G56" s="11" t="s">
        <v>26</v>
      </c>
      <c r="H56" s="15" t="s">
        <v>27</v>
      </c>
      <c r="I56" s="10">
        <f>IF(Dashboard!$C$8="Metric Tons", (H54/$T$128), 0)</f>
        <v>0</v>
      </c>
      <c r="J56" s="16">
        <f>I58*1000</f>
        <v>17.1892</v>
      </c>
      <c r="K56" s="15" t="s">
        <v>27</v>
      </c>
    </row>
    <row r="57" spans="1:11">
      <c r="A57" s="60"/>
      <c r="F57" s="34"/>
      <c r="G57" s="11" t="s">
        <v>22</v>
      </c>
      <c r="H57" s="15" t="s">
        <v>27</v>
      </c>
      <c r="I57" s="11">
        <f>IF(Dashboard!$C$8="Pounds", (H54*$T$130), 0)</f>
        <v>1.7189199999999998E-2</v>
      </c>
      <c r="J57" s="15" t="s">
        <v>27</v>
      </c>
      <c r="K57" s="15" t="s">
        <v>27</v>
      </c>
    </row>
    <row r="58" spans="1:11">
      <c r="A58" s="60"/>
      <c r="F58" s="34"/>
      <c r="G58" s="11" t="s">
        <v>23</v>
      </c>
      <c r="H58" s="15" t="s">
        <v>27</v>
      </c>
      <c r="I58" s="10">
        <f>SUM(I55:I57)</f>
        <v>1.7189199999999998E-2</v>
      </c>
      <c r="J58" s="17">
        <f>IF(Dashboard!$G$4="kWh", J55, J56)</f>
        <v>17.1892</v>
      </c>
      <c r="K58" s="17">
        <f>J58*Dashboard!$C$4</f>
        <v>17.1892</v>
      </c>
    </row>
    <row r="59" spans="1:11" ht="16.5" customHeight="1">
      <c r="A59" s="60" t="s">
        <v>51</v>
      </c>
      <c r="B59" s="61" t="s">
        <v>56</v>
      </c>
      <c r="C59" s="61" t="s">
        <v>0</v>
      </c>
      <c r="D59" s="61">
        <v>1.6195999999999999</v>
      </c>
      <c r="E59" s="62">
        <f>D59/($T$130*$T$125)</f>
        <v>8.0979999999999996E-7</v>
      </c>
      <c r="F59" s="34"/>
      <c r="G59" s="34"/>
      <c r="H59" s="34"/>
      <c r="I59" s="34"/>
      <c r="J59" s="34"/>
      <c r="K59" s="34"/>
    </row>
    <row r="60" spans="1:11" ht="64.5">
      <c r="A60" s="60"/>
      <c r="F60" s="34"/>
      <c r="G60" s="14"/>
      <c r="H60" s="8" t="s">
        <v>30</v>
      </c>
      <c r="I60" s="8" t="s">
        <v>31</v>
      </c>
      <c r="J60" s="8" t="s">
        <v>32</v>
      </c>
      <c r="K60" s="8" t="s">
        <v>33</v>
      </c>
    </row>
    <row r="61" spans="1:11" ht="30">
      <c r="A61" s="60"/>
      <c r="F61" s="34"/>
      <c r="G61" s="21" t="s">
        <v>61</v>
      </c>
      <c r="H61" s="18">
        <f>E59</f>
        <v>8.0979999999999996E-7</v>
      </c>
      <c r="I61" s="15" t="s">
        <v>27</v>
      </c>
      <c r="J61" s="19" t="str">
        <f>IF(Dashboard!$H$4="Metric Tons", (1/$C$128)*I61, I61)</f>
        <v>-</v>
      </c>
      <c r="K61" s="15" t="s">
        <v>27</v>
      </c>
    </row>
    <row r="62" spans="1:11">
      <c r="A62" s="60"/>
      <c r="F62" s="34"/>
      <c r="G62" s="11" t="s">
        <v>25</v>
      </c>
      <c r="H62" s="15" t="s">
        <v>27</v>
      </c>
      <c r="I62" s="10">
        <f>IF(Dashboard!$C$8="tons", H61, 0)</f>
        <v>0</v>
      </c>
      <c r="J62" s="10">
        <f>I65</f>
        <v>1.6195999999999999E-3</v>
      </c>
      <c r="K62" s="15" t="s">
        <v>27</v>
      </c>
    </row>
    <row r="63" spans="1:11">
      <c r="A63" s="60"/>
      <c r="C63" s="61"/>
      <c r="F63" s="34"/>
      <c r="G63" s="11" t="s">
        <v>26</v>
      </c>
      <c r="H63" s="15" t="s">
        <v>27</v>
      </c>
      <c r="I63" s="10">
        <f>IF(Dashboard!$C$8="Metric Tons", (H61/$T$128), 0)</f>
        <v>0</v>
      </c>
      <c r="J63" s="16">
        <f>I65*1000</f>
        <v>1.6195999999999999</v>
      </c>
      <c r="K63" s="15" t="s">
        <v>27</v>
      </c>
    </row>
    <row r="64" spans="1:11">
      <c r="A64" s="60"/>
      <c r="F64" s="34"/>
      <c r="G64" s="11" t="s">
        <v>22</v>
      </c>
      <c r="H64" s="15" t="s">
        <v>27</v>
      </c>
      <c r="I64" s="11">
        <f>IF(Dashboard!$C$8="Pounds", (H61*$T$130), 0)</f>
        <v>1.6195999999999999E-3</v>
      </c>
      <c r="J64" s="15" t="s">
        <v>27</v>
      </c>
      <c r="K64" s="15" t="s">
        <v>27</v>
      </c>
    </row>
    <row r="65" spans="1:11">
      <c r="A65" s="60"/>
      <c r="F65" s="34"/>
      <c r="G65" s="11" t="s">
        <v>23</v>
      </c>
      <c r="H65" s="15" t="s">
        <v>27</v>
      </c>
      <c r="I65" s="10">
        <f>SUM(I62:I64)</f>
        <v>1.6195999999999999E-3</v>
      </c>
      <c r="J65" s="17">
        <f>IF(Dashboard!$G$4="kWh", J62, J63)</f>
        <v>1.6195999999999999</v>
      </c>
      <c r="K65" s="17">
        <f>J65*Dashboard!$C$4</f>
        <v>1.6195999999999999</v>
      </c>
    </row>
    <row r="66" spans="1:11" ht="15" customHeight="1">
      <c r="A66" s="60"/>
      <c r="B66" s="61" t="s">
        <v>56</v>
      </c>
      <c r="C66" s="61" t="s">
        <v>57</v>
      </c>
      <c r="D66" s="61">
        <v>2.3056999999999999</v>
      </c>
      <c r="E66" s="62">
        <f>D66/($T$130*$T$125)</f>
        <v>1.1528499999999999E-6</v>
      </c>
      <c r="F66" s="34"/>
      <c r="G66" s="34"/>
      <c r="H66" s="34"/>
      <c r="I66" s="34"/>
      <c r="J66" s="34"/>
      <c r="K66" s="34"/>
    </row>
    <row r="67" spans="1:11" ht="64.5">
      <c r="A67" s="60"/>
      <c r="F67" s="34"/>
      <c r="G67" s="14"/>
      <c r="H67" s="8" t="s">
        <v>30</v>
      </c>
      <c r="I67" s="8" t="s">
        <v>31</v>
      </c>
      <c r="J67" s="8" t="s">
        <v>32</v>
      </c>
      <c r="K67" s="8" t="s">
        <v>33</v>
      </c>
    </row>
    <row r="68" spans="1:11" ht="30">
      <c r="A68" s="60"/>
      <c r="F68" s="34"/>
      <c r="G68" s="21" t="s">
        <v>61</v>
      </c>
      <c r="H68" s="18">
        <f>E66</f>
        <v>1.1528499999999999E-6</v>
      </c>
      <c r="I68" s="15" t="s">
        <v>27</v>
      </c>
      <c r="J68" s="19" t="str">
        <f>IF(Dashboard!$H$4="Metric Tons", (1/$C$128)*I68, I68)</f>
        <v>-</v>
      </c>
      <c r="K68" s="15" t="s">
        <v>27</v>
      </c>
    </row>
    <row r="69" spans="1:11">
      <c r="A69" s="60"/>
      <c r="B69" s="61"/>
      <c r="C69" s="61"/>
      <c r="F69" s="34"/>
      <c r="G69" s="11" t="s">
        <v>25</v>
      </c>
      <c r="H69" s="15" t="s">
        <v>27</v>
      </c>
      <c r="I69" s="10">
        <f>IF(Dashboard!$C$8="tons", H68, 0)</f>
        <v>0</v>
      </c>
      <c r="J69" s="10">
        <f>I72</f>
        <v>2.3056999999999999E-3</v>
      </c>
      <c r="K69" s="15" t="s">
        <v>27</v>
      </c>
    </row>
    <row r="70" spans="1:11">
      <c r="A70" s="60"/>
      <c r="B70" s="61"/>
      <c r="C70" s="61"/>
      <c r="D70" s="61"/>
      <c r="F70" s="34"/>
      <c r="G70" s="11" t="s">
        <v>26</v>
      </c>
      <c r="H70" s="15" t="s">
        <v>27</v>
      </c>
      <c r="I70" s="10">
        <f>IF(Dashboard!$C$8="Metric Tons", (H68/$T$128), 0)</f>
        <v>0</v>
      </c>
      <c r="J70" s="16">
        <f>I72*1000</f>
        <v>2.3056999999999999</v>
      </c>
      <c r="K70" s="15" t="s">
        <v>27</v>
      </c>
    </row>
    <row r="71" spans="1:11">
      <c r="A71" s="60"/>
      <c r="C71" s="61"/>
      <c r="F71" s="34"/>
      <c r="G71" s="11" t="s">
        <v>22</v>
      </c>
      <c r="H71" s="15" t="s">
        <v>27</v>
      </c>
      <c r="I71" s="11">
        <f>IF(Dashboard!$C$8="Pounds", (H68*$T$130), 0)</f>
        <v>2.3056999999999999E-3</v>
      </c>
      <c r="J71" s="15" t="s">
        <v>27</v>
      </c>
      <c r="K71" s="15" t="s">
        <v>27</v>
      </c>
    </row>
    <row r="72" spans="1:11">
      <c r="A72" s="60"/>
      <c r="C72" s="61"/>
      <c r="D72" s="61"/>
      <c r="F72" s="34"/>
      <c r="G72" s="11" t="s">
        <v>23</v>
      </c>
      <c r="H72" s="15" t="s">
        <v>27</v>
      </c>
      <c r="I72" s="10">
        <f>SUM(I69:I71)</f>
        <v>2.3056999999999999E-3</v>
      </c>
      <c r="J72" s="17">
        <f>IF(Dashboard!$G$4="kWh", J69, J70)</f>
        <v>2.3056999999999999</v>
      </c>
      <c r="K72" s="17">
        <f>J72*Dashboard!$C$4</f>
        <v>2.3056999999999999</v>
      </c>
    </row>
    <row r="73" spans="1:11" ht="15" customHeight="1">
      <c r="A73" s="60"/>
      <c r="B73" s="61" t="s">
        <v>44</v>
      </c>
      <c r="C73" s="61" t="s">
        <v>57</v>
      </c>
      <c r="D73" s="61">
        <v>1612.42</v>
      </c>
      <c r="E73" s="62">
        <f>D73/($T$130*$T$125)</f>
        <v>8.0621000000000002E-4</v>
      </c>
      <c r="F73" s="34"/>
      <c r="G73" s="34"/>
      <c r="H73" s="34"/>
      <c r="I73" s="34"/>
      <c r="J73" s="34"/>
      <c r="K73" s="34"/>
    </row>
    <row r="74" spans="1:11" ht="64.5">
      <c r="A74" s="60"/>
      <c r="F74" s="34"/>
      <c r="G74" s="14"/>
      <c r="H74" s="8" t="s">
        <v>30</v>
      </c>
      <c r="I74" s="8" t="s">
        <v>31</v>
      </c>
      <c r="J74" s="8" t="s">
        <v>32</v>
      </c>
      <c r="K74" s="8" t="s">
        <v>33</v>
      </c>
    </row>
    <row r="75" spans="1:11" ht="30">
      <c r="A75" s="60"/>
      <c r="F75" s="34"/>
      <c r="G75" s="21" t="s">
        <v>61</v>
      </c>
      <c r="H75" s="18">
        <f>E73</f>
        <v>8.0621000000000002E-4</v>
      </c>
      <c r="I75" s="15" t="s">
        <v>27</v>
      </c>
      <c r="J75" s="19" t="str">
        <f>IF(Dashboard!$H$4="Metric Tons", (1/$C$128)*I75, I75)</f>
        <v>-</v>
      </c>
      <c r="K75" s="15" t="s">
        <v>27</v>
      </c>
    </row>
    <row r="76" spans="1:11">
      <c r="A76" s="60"/>
      <c r="C76" s="61"/>
      <c r="D76" s="61"/>
      <c r="F76" s="34"/>
      <c r="G76" s="11" t="s">
        <v>25</v>
      </c>
      <c r="H76" s="15" t="s">
        <v>27</v>
      </c>
      <c r="I76" s="10">
        <f>IF(Dashboard!$C$8="tons", H75, 0)</f>
        <v>0</v>
      </c>
      <c r="J76" s="10">
        <f>I79</f>
        <v>1.61242</v>
      </c>
      <c r="K76" s="15" t="s">
        <v>27</v>
      </c>
    </row>
    <row r="77" spans="1:11">
      <c r="A77" s="60"/>
      <c r="C77" s="61"/>
      <c r="D77" s="61"/>
      <c r="F77" s="34"/>
      <c r="G77" s="11" t="s">
        <v>26</v>
      </c>
      <c r="H77" s="15" t="s">
        <v>27</v>
      </c>
      <c r="I77" s="10">
        <f>IF(Dashboard!$C$8="Metric Tons", (H75/$T$128), 0)</f>
        <v>0</v>
      </c>
      <c r="J77" s="16">
        <f>I79*1000</f>
        <v>1612.42</v>
      </c>
      <c r="K77" s="15" t="s">
        <v>27</v>
      </c>
    </row>
    <row r="78" spans="1:11">
      <c r="A78" s="60"/>
      <c r="C78" s="61"/>
      <c r="D78" s="61"/>
      <c r="F78" s="34"/>
      <c r="G78" s="11" t="s">
        <v>22</v>
      </c>
      <c r="H78" s="15" t="s">
        <v>27</v>
      </c>
      <c r="I78" s="11">
        <f>IF(Dashboard!$C$8="Pounds", (H75*$T$130), 0)</f>
        <v>1.61242</v>
      </c>
      <c r="J78" s="15" t="s">
        <v>27</v>
      </c>
      <c r="K78" s="15" t="s">
        <v>27</v>
      </c>
    </row>
    <row r="79" spans="1:11">
      <c r="A79" s="60"/>
      <c r="D79" s="61"/>
      <c r="F79" s="34"/>
      <c r="G79" s="11" t="s">
        <v>23</v>
      </c>
      <c r="H79" s="15" t="s">
        <v>27</v>
      </c>
      <c r="I79" s="10">
        <f>SUM(I76:I78)</f>
        <v>1.61242</v>
      </c>
      <c r="J79" s="17">
        <f>IF(Dashboard!$G$4="kWh", J76, J77)</f>
        <v>1612.42</v>
      </c>
      <c r="K79" s="17">
        <f>J79*Dashboard!$C$4</f>
        <v>1612.42</v>
      </c>
    </row>
    <row r="80" spans="1:11" ht="15.75" customHeight="1">
      <c r="A80" s="60"/>
      <c r="B80" s="61" t="s">
        <v>54</v>
      </c>
      <c r="C80" s="61" t="s">
        <v>57</v>
      </c>
      <c r="D80" s="61">
        <v>8.7683999999999997</v>
      </c>
      <c r="E80" s="62">
        <f>D80/($T$130*$T$125)</f>
        <v>4.3841999999999995E-6</v>
      </c>
      <c r="F80" s="34"/>
      <c r="G80" s="34"/>
      <c r="H80" s="34"/>
      <c r="I80" s="34"/>
      <c r="J80" s="34"/>
      <c r="K80" s="34"/>
    </row>
    <row r="81" spans="1:11" ht="64.5">
      <c r="A81" s="60"/>
      <c r="F81" s="34"/>
      <c r="G81" s="14"/>
      <c r="H81" s="8" t="s">
        <v>30</v>
      </c>
      <c r="I81" s="8" t="s">
        <v>31</v>
      </c>
      <c r="J81" s="8" t="s">
        <v>32</v>
      </c>
      <c r="K81" s="8" t="s">
        <v>33</v>
      </c>
    </row>
    <row r="82" spans="1:11" ht="30">
      <c r="A82" s="60"/>
      <c r="F82" s="34"/>
      <c r="G82" s="21" t="s">
        <v>61</v>
      </c>
      <c r="H82" s="18">
        <f>E80</f>
        <v>4.3841999999999995E-6</v>
      </c>
      <c r="I82" s="15" t="s">
        <v>27</v>
      </c>
      <c r="J82" s="19" t="str">
        <f>IF(Dashboard!$H$4="Metric Tons", (1/$C$128)*I82, I82)</f>
        <v>-</v>
      </c>
      <c r="K82" s="15" t="s">
        <v>27</v>
      </c>
    </row>
    <row r="83" spans="1:11">
      <c r="A83" s="60"/>
      <c r="F83" s="34"/>
      <c r="G83" s="11" t="s">
        <v>25</v>
      </c>
      <c r="H83" s="15" t="s">
        <v>27</v>
      </c>
      <c r="I83" s="10">
        <f>IF(Dashboard!$C$8="tons", H82, 0)</f>
        <v>0</v>
      </c>
      <c r="J83" s="10">
        <f>I86</f>
        <v>8.7683999999999991E-3</v>
      </c>
      <c r="K83" s="15" t="s">
        <v>27</v>
      </c>
    </row>
    <row r="84" spans="1:11">
      <c r="A84" s="60"/>
      <c r="F84" s="34"/>
      <c r="G84" s="11" t="s">
        <v>26</v>
      </c>
      <c r="H84" s="15" t="s">
        <v>27</v>
      </c>
      <c r="I84" s="10">
        <f>IF(Dashboard!$C$8="Metric Tons", (H82/$T$128), 0)</f>
        <v>0</v>
      </c>
      <c r="J84" s="16">
        <f>I86*1000</f>
        <v>8.7683999999999997</v>
      </c>
      <c r="K84" s="15" t="s">
        <v>27</v>
      </c>
    </row>
    <row r="85" spans="1:11">
      <c r="A85" s="60"/>
      <c r="F85" s="34"/>
      <c r="G85" s="11" t="s">
        <v>22</v>
      </c>
      <c r="H85" s="15" t="s">
        <v>27</v>
      </c>
      <c r="I85" s="11">
        <f>IF(Dashboard!$C$8="Pounds", (H82*$T$130), 0)</f>
        <v>8.7683999999999991E-3</v>
      </c>
      <c r="J85" s="15" t="s">
        <v>27</v>
      </c>
      <c r="K85" s="15" t="s">
        <v>27</v>
      </c>
    </row>
    <row r="86" spans="1:11">
      <c r="A86" s="60"/>
      <c r="F86" s="34"/>
      <c r="G86" s="11" t="s">
        <v>23</v>
      </c>
      <c r="H86" s="15" t="s">
        <v>27</v>
      </c>
      <c r="I86" s="10">
        <f>SUM(I83:I85)</f>
        <v>8.7683999999999991E-3</v>
      </c>
      <c r="J86" s="17">
        <f>IF(Dashboard!$G$4="kWh", J83, J84)</f>
        <v>8.7683999999999997</v>
      </c>
      <c r="K86" s="17">
        <f>J86*Dashboard!$C$4</f>
        <v>8.7683999999999997</v>
      </c>
    </row>
    <row r="87" spans="1:11" ht="15.75" customHeight="1">
      <c r="A87" s="60" t="s">
        <v>62</v>
      </c>
      <c r="B87" s="61" t="s">
        <v>56</v>
      </c>
      <c r="C87" s="61" t="s">
        <v>0</v>
      </c>
      <c r="D87" s="62">
        <v>2.3144999999999998</v>
      </c>
      <c r="E87" s="62">
        <f>D87/($T$130*$T$125)</f>
        <v>1.1572499999999998E-6</v>
      </c>
      <c r="F87" s="34"/>
      <c r="G87" s="34"/>
      <c r="H87" s="34"/>
      <c r="I87" s="34"/>
      <c r="J87" s="34"/>
      <c r="K87" s="34"/>
    </row>
    <row r="88" spans="1:11" ht="64.5">
      <c r="A88" s="60"/>
      <c r="F88" s="34"/>
      <c r="G88" s="14"/>
      <c r="H88" s="8" t="s">
        <v>30</v>
      </c>
      <c r="I88" s="8" t="s">
        <v>31</v>
      </c>
      <c r="J88" s="8" t="s">
        <v>32</v>
      </c>
      <c r="K88" s="8" t="s">
        <v>33</v>
      </c>
    </row>
    <row r="89" spans="1:11" ht="30">
      <c r="A89" s="60"/>
      <c r="F89" s="34"/>
      <c r="G89" s="21" t="s">
        <v>61</v>
      </c>
      <c r="H89" s="18">
        <f>E87</f>
        <v>1.1572499999999998E-6</v>
      </c>
      <c r="I89" s="15" t="s">
        <v>27</v>
      </c>
      <c r="J89" s="19" t="str">
        <f>IF(Dashboard!$H$4="Metric Tons", (1/$C$128)*I89, I89)</f>
        <v>-</v>
      </c>
      <c r="K89" s="15" t="s">
        <v>27</v>
      </c>
    </row>
    <row r="90" spans="1:11">
      <c r="A90" s="60"/>
      <c r="F90" s="34"/>
      <c r="G90" s="11" t="s">
        <v>25</v>
      </c>
      <c r="H90" s="15" t="s">
        <v>27</v>
      </c>
      <c r="I90" s="10">
        <f>IF(Dashboard!$C$8="tons", H89, 0)</f>
        <v>0</v>
      </c>
      <c r="J90" s="10">
        <f>I93</f>
        <v>2.3144999999999997E-3</v>
      </c>
      <c r="K90" s="15" t="s">
        <v>27</v>
      </c>
    </row>
    <row r="91" spans="1:11">
      <c r="A91" s="60"/>
      <c r="C91" s="61"/>
      <c r="F91" s="34"/>
      <c r="G91" s="11" t="s">
        <v>26</v>
      </c>
      <c r="H91" s="15" t="s">
        <v>27</v>
      </c>
      <c r="I91" s="10">
        <f>IF(Dashboard!$C$8="Metric Tons", (H89/$T$128), 0)</f>
        <v>0</v>
      </c>
      <c r="J91" s="16">
        <f>I93*1000</f>
        <v>2.3144999999999998</v>
      </c>
      <c r="K91" s="15" t="s">
        <v>27</v>
      </c>
    </row>
    <row r="92" spans="1:11">
      <c r="A92" s="60"/>
      <c r="F92" s="34"/>
      <c r="G92" s="11" t="s">
        <v>22</v>
      </c>
      <c r="H92" s="15" t="s">
        <v>27</v>
      </c>
      <c r="I92" s="11">
        <f>IF(Dashboard!$C$8="Pounds", (H89*$T$130), 0)</f>
        <v>2.3144999999999997E-3</v>
      </c>
      <c r="J92" s="15" t="s">
        <v>27</v>
      </c>
      <c r="K92" s="15" t="s">
        <v>27</v>
      </c>
    </row>
    <row r="93" spans="1:11">
      <c r="A93" s="60"/>
      <c r="F93" s="34"/>
      <c r="G93" s="11" t="s">
        <v>23</v>
      </c>
      <c r="H93" s="15" t="s">
        <v>27</v>
      </c>
      <c r="I93" s="10">
        <f>SUM(I90:I92)</f>
        <v>2.3144999999999997E-3</v>
      </c>
      <c r="J93" s="17">
        <f>IF(Dashboard!$G$4="kWh", J90, J91)</f>
        <v>2.3144999999999998</v>
      </c>
      <c r="K93" s="17">
        <f>J93*Dashboard!$C$4</f>
        <v>2.3144999999999998</v>
      </c>
    </row>
    <row r="94" spans="1:11" ht="18" customHeight="1">
      <c r="A94" s="60"/>
      <c r="B94" s="61" t="s">
        <v>56</v>
      </c>
      <c r="C94" s="61" t="s">
        <v>57</v>
      </c>
      <c r="D94" s="62">
        <v>3.0587</v>
      </c>
      <c r="E94" s="62">
        <f>D94/($T$130*$T$125)</f>
        <v>1.52935E-6</v>
      </c>
      <c r="F94" s="34"/>
      <c r="G94" s="34"/>
      <c r="H94" s="34"/>
      <c r="I94" s="34"/>
      <c r="J94" s="34"/>
      <c r="K94" s="34"/>
    </row>
    <row r="95" spans="1:11" ht="64.5">
      <c r="A95" s="60"/>
      <c r="F95" s="34"/>
      <c r="G95" s="14"/>
      <c r="H95" s="8" t="s">
        <v>30</v>
      </c>
      <c r="I95" s="8" t="s">
        <v>31</v>
      </c>
      <c r="J95" s="8" t="s">
        <v>32</v>
      </c>
      <c r="K95" s="8" t="s">
        <v>33</v>
      </c>
    </row>
    <row r="96" spans="1:11" ht="30">
      <c r="A96" s="60"/>
      <c r="F96" s="34"/>
      <c r="G96" s="21" t="s">
        <v>61</v>
      </c>
      <c r="H96" s="18">
        <f>E94</f>
        <v>1.52935E-6</v>
      </c>
      <c r="I96" s="15" t="s">
        <v>27</v>
      </c>
      <c r="J96" s="19" t="str">
        <f>IF(Dashboard!$H$4="Metric Tons", (1/$C$128)*I96, I96)</f>
        <v>-</v>
      </c>
      <c r="K96" s="15" t="s">
        <v>27</v>
      </c>
    </row>
    <row r="97" spans="1:11">
      <c r="A97" s="60"/>
      <c r="B97" s="61"/>
      <c r="C97" s="61"/>
      <c r="F97" s="34"/>
      <c r="G97" s="11" t="s">
        <v>25</v>
      </c>
      <c r="H97" s="15" t="s">
        <v>27</v>
      </c>
      <c r="I97" s="10">
        <f>IF(Dashboard!$C$8="tons", H96, 0)</f>
        <v>0</v>
      </c>
      <c r="J97" s="10">
        <f>I100</f>
        <v>3.0587000000000001E-3</v>
      </c>
      <c r="K97" s="15" t="s">
        <v>27</v>
      </c>
    </row>
    <row r="98" spans="1:11">
      <c r="A98" s="60"/>
      <c r="B98" s="61"/>
      <c r="C98" s="61"/>
      <c r="D98" s="61"/>
      <c r="F98" s="34"/>
      <c r="G98" s="11" t="s">
        <v>26</v>
      </c>
      <c r="H98" s="15" t="s">
        <v>27</v>
      </c>
      <c r="I98" s="10">
        <f>IF(Dashboard!$C$8="Metric Tons", (H96/$T$128), 0)</f>
        <v>0</v>
      </c>
      <c r="J98" s="16">
        <f>I100*1000</f>
        <v>3.0587</v>
      </c>
      <c r="K98" s="15" t="s">
        <v>27</v>
      </c>
    </row>
    <row r="99" spans="1:11">
      <c r="A99" s="60"/>
      <c r="C99" s="61"/>
      <c r="F99" s="34"/>
      <c r="G99" s="11" t="s">
        <v>22</v>
      </c>
      <c r="H99" s="15" t="s">
        <v>27</v>
      </c>
      <c r="I99" s="11">
        <f>IF(Dashboard!$C$8="Pounds", (H96*$T$130), 0)</f>
        <v>3.0587000000000001E-3</v>
      </c>
      <c r="J99" s="15" t="s">
        <v>27</v>
      </c>
      <c r="K99" s="15" t="s">
        <v>27</v>
      </c>
    </row>
    <row r="100" spans="1:11">
      <c r="A100" s="60"/>
      <c r="C100" s="61"/>
      <c r="D100" s="61"/>
      <c r="F100" s="34"/>
      <c r="G100" s="11" t="s">
        <v>23</v>
      </c>
      <c r="H100" s="15" t="s">
        <v>27</v>
      </c>
      <c r="I100" s="10">
        <f>SUM(I97:I99)</f>
        <v>3.0587000000000001E-3</v>
      </c>
      <c r="J100" s="17">
        <f>IF(Dashboard!$G$4="kWh", J97, J98)</f>
        <v>3.0587</v>
      </c>
      <c r="K100" s="17">
        <f>J100*Dashboard!$C$4</f>
        <v>3.0587</v>
      </c>
    </row>
    <row r="101" spans="1:11" ht="14.25" customHeight="1">
      <c r="A101" s="60"/>
      <c r="B101" s="61" t="s">
        <v>44</v>
      </c>
      <c r="C101" s="61" t="s">
        <v>57</v>
      </c>
      <c r="D101" s="61">
        <v>1882.91</v>
      </c>
      <c r="E101" s="62">
        <f>D101/($T$130*$T$125)</f>
        <v>9.41455E-4</v>
      </c>
      <c r="F101" s="34"/>
      <c r="G101" s="34"/>
      <c r="H101" s="34"/>
      <c r="I101" s="34"/>
      <c r="J101" s="34"/>
      <c r="K101" s="34"/>
    </row>
    <row r="102" spans="1:11" ht="64.5">
      <c r="A102" s="60"/>
      <c r="F102" s="34"/>
      <c r="G102" s="14"/>
      <c r="H102" s="8" t="s">
        <v>30</v>
      </c>
      <c r="I102" s="8" t="s">
        <v>31</v>
      </c>
      <c r="J102" s="8" t="s">
        <v>32</v>
      </c>
      <c r="K102" s="8" t="s">
        <v>33</v>
      </c>
    </row>
    <row r="103" spans="1:11" ht="30">
      <c r="A103" s="60"/>
      <c r="F103" s="34"/>
      <c r="G103" s="21" t="s">
        <v>61</v>
      </c>
      <c r="H103" s="18">
        <f>E101</f>
        <v>9.41455E-4</v>
      </c>
      <c r="I103" s="15" t="s">
        <v>27</v>
      </c>
      <c r="J103" s="19" t="str">
        <f>IF(Dashboard!$H$4="Metric Tons", (1/$C$128)*I103, I103)</f>
        <v>-</v>
      </c>
      <c r="K103" s="15" t="s">
        <v>27</v>
      </c>
    </row>
    <row r="104" spans="1:11">
      <c r="A104" s="60"/>
      <c r="C104" s="61"/>
      <c r="D104" s="61"/>
      <c r="F104" s="34"/>
      <c r="G104" s="11" t="s">
        <v>25</v>
      </c>
      <c r="H104" s="15" t="s">
        <v>27</v>
      </c>
      <c r="I104" s="10">
        <f>IF(Dashboard!$C$8="tons", H103, 0)</f>
        <v>0</v>
      </c>
      <c r="J104" s="10">
        <f>I107</f>
        <v>1.8829100000000001</v>
      </c>
      <c r="K104" s="15" t="s">
        <v>27</v>
      </c>
    </row>
    <row r="105" spans="1:11">
      <c r="A105" s="60"/>
      <c r="C105" s="61"/>
      <c r="D105" s="61"/>
      <c r="F105" s="34"/>
      <c r="G105" s="11" t="s">
        <v>26</v>
      </c>
      <c r="H105" s="15" t="s">
        <v>27</v>
      </c>
      <c r="I105" s="10">
        <f>IF(Dashboard!$C$8="Metric Tons", (H103/$T$128), 0)</f>
        <v>0</v>
      </c>
      <c r="J105" s="16">
        <f>I107*1000</f>
        <v>1882.91</v>
      </c>
      <c r="K105" s="15" t="s">
        <v>27</v>
      </c>
    </row>
    <row r="106" spans="1:11">
      <c r="A106" s="60"/>
      <c r="C106" s="61"/>
      <c r="D106" s="61"/>
      <c r="F106" s="34"/>
      <c r="G106" s="11" t="s">
        <v>22</v>
      </c>
      <c r="H106" s="15" t="s">
        <v>27</v>
      </c>
      <c r="I106" s="11">
        <f>IF(Dashboard!$C$8="Pounds", (H103*$T$130), 0)</f>
        <v>1.8829100000000001</v>
      </c>
      <c r="J106" s="15" t="s">
        <v>27</v>
      </c>
      <c r="K106" s="15" t="s">
        <v>27</v>
      </c>
    </row>
    <row r="107" spans="1:11">
      <c r="A107" s="60"/>
      <c r="D107" s="61"/>
      <c r="F107" s="34"/>
      <c r="G107" s="11" t="s">
        <v>23</v>
      </c>
      <c r="H107" s="15" t="s">
        <v>27</v>
      </c>
      <c r="I107" s="10">
        <f>SUM(I104:I106)</f>
        <v>1.8829100000000001</v>
      </c>
      <c r="J107" s="17">
        <f>IF(Dashboard!$G$4="kWh", J104, J105)</f>
        <v>1882.91</v>
      </c>
      <c r="K107" s="17">
        <f>J107*Dashboard!$C$4</f>
        <v>1882.91</v>
      </c>
    </row>
    <row r="108" spans="1:11" ht="15.75" customHeight="1">
      <c r="A108" s="60"/>
      <c r="B108" s="61" t="s">
        <v>54</v>
      </c>
      <c r="C108" s="61" t="s">
        <v>57</v>
      </c>
      <c r="D108" s="61">
        <v>12.0901</v>
      </c>
      <c r="E108" s="62">
        <f>D108/($T$130*$T$125)</f>
        <v>6.0450499999999998E-6</v>
      </c>
      <c r="F108" s="34"/>
      <c r="G108" s="34"/>
      <c r="H108" s="34"/>
      <c r="I108" s="34"/>
      <c r="J108" s="34"/>
      <c r="K108" s="34"/>
    </row>
    <row r="109" spans="1:11" ht="64.5">
      <c r="A109" s="60"/>
      <c r="F109" s="34"/>
      <c r="G109" s="14"/>
      <c r="H109" s="8" t="s">
        <v>30</v>
      </c>
      <c r="I109" s="8" t="s">
        <v>31</v>
      </c>
      <c r="J109" s="8" t="s">
        <v>32</v>
      </c>
      <c r="K109" s="8" t="s">
        <v>33</v>
      </c>
    </row>
    <row r="110" spans="1:11" ht="30">
      <c r="A110" s="60"/>
      <c r="F110" s="34"/>
      <c r="G110" s="21" t="s">
        <v>61</v>
      </c>
      <c r="H110" s="18">
        <f>E108</f>
        <v>6.0450499999999998E-6</v>
      </c>
      <c r="I110" s="15" t="s">
        <v>27</v>
      </c>
      <c r="J110" s="19" t="str">
        <f>IF(Dashboard!$H$4="Metric Tons", (1/$C$128)*I110, I110)</f>
        <v>-</v>
      </c>
      <c r="K110" s="15" t="s">
        <v>27</v>
      </c>
    </row>
    <row r="111" spans="1:11">
      <c r="A111" s="60"/>
      <c r="F111" s="34"/>
      <c r="G111" s="11" t="s">
        <v>25</v>
      </c>
      <c r="H111" s="15" t="s">
        <v>27</v>
      </c>
      <c r="I111" s="10">
        <f>IF(Dashboard!$C$8="tons", H110, 0)</f>
        <v>0</v>
      </c>
      <c r="J111" s="10">
        <f>I114</f>
        <v>1.2090099999999999E-2</v>
      </c>
      <c r="K111" s="15" t="s">
        <v>27</v>
      </c>
    </row>
    <row r="112" spans="1:11">
      <c r="A112" s="60"/>
      <c r="F112" s="34"/>
      <c r="G112" s="11" t="s">
        <v>26</v>
      </c>
      <c r="H112" s="15" t="s">
        <v>27</v>
      </c>
      <c r="I112" s="10">
        <f>IF(Dashboard!$C$8="Metric Tons", (H110/$T$128), 0)</f>
        <v>0</v>
      </c>
      <c r="J112" s="16">
        <f>I114*1000</f>
        <v>12.0901</v>
      </c>
      <c r="K112" s="15" t="s">
        <v>27</v>
      </c>
    </row>
    <row r="113" spans="1:20">
      <c r="A113" s="60"/>
      <c r="F113" s="34"/>
      <c r="G113" s="11" t="s">
        <v>22</v>
      </c>
      <c r="H113" s="15" t="s">
        <v>27</v>
      </c>
      <c r="I113" s="11">
        <f>IF(Dashboard!$C$8="Pounds", (H110*$T$130), 0)</f>
        <v>1.2090099999999999E-2</v>
      </c>
      <c r="J113" s="15" t="s">
        <v>27</v>
      </c>
      <c r="K113" s="15" t="s">
        <v>27</v>
      </c>
    </row>
    <row r="114" spans="1:20">
      <c r="A114" s="60"/>
      <c r="F114" s="34"/>
      <c r="G114" s="11" t="s">
        <v>23</v>
      </c>
      <c r="H114" s="15" t="s">
        <v>27</v>
      </c>
      <c r="I114" s="10">
        <f>SUM(I111:I113)</f>
        <v>1.2090099999999999E-2</v>
      </c>
      <c r="J114" s="17">
        <f>IF(Dashboard!$G$4="kWh", J111, J112)</f>
        <v>12.0901</v>
      </c>
      <c r="K114" s="17">
        <f>J114*Dashboard!$C$4</f>
        <v>12.0901</v>
      </c>
    </row>
    <row r="115" spans="1:20" ht="15" customHeight="1">
      <c r="A115" s="60" t="s">
        <v>53</v>
      </c>
      <c r="B115" s="61" t="s">
        <v>56</v>
      </c>
      <c r="C115" s="61" t="s">
        <v>0</v>
      </c>
      <c r="D115" s="62">
        <v>1.9356</v>
      </c>
      <c r="E115" s="62">
        <f>D115/($T$130*$T$125)</f>
        <v>9.6780000000000008E-7</v>
      </c>
      <c r="F115" s="34"/>
      <c r="G115" s="34"/>
      <c r="H115" s="34"/>
      <c r="I115" s="34"/>
      <c r="J115" s="34"/>
      <c r="K115" s="34"/>
    </row>
    <row r="116" spans="1:20" ht="64.5">
      <c r="A116" s="60"/>
      <c r="F116" s="34"/>
      <c r="G116" s="14"/>
      <c r="H116" s="8" t="s">
        <v>30</v>
      </c>
      <c r="I116" s="8" t="s">
        <v>31</v>
      </c>
      <c r="J116" s="8" t="s">
        <v>32</v>
      </c>
      <c r="K116" s="8" t="s">
        <v>33</v>
      </c>
    </row>
    <row r="117" spans="1:20" ht="30">
      <c r="A117" s="60"/>
      <c r="F117" s="34"/>
      <c r="G117" s="21" t="s">
        <v>61</v>
      </c>
      <c r="H117" s="18">
        <f>E115</f>
        <v>9.6780000000000008E-7</v>
      </c>
      <c r="I117" s="15" t="s">
        <v>27</v>
      </c>
      <c r="J117" s="19" t="str">
        <f>IF(Dashboard!$H$4="Metric Tons", (1/$C$128)*I117, I117)</f>
        <v>-</v>
      </c>
      <c r="K117" s="15" t="s">
        <v>27</v>
      </c>
    </row>
    <row r="118" spans="1:20">
      <c r="A118" s="60"/>
      <c r="F118" s="34"/>
      <c r="G118" s="11" t="s">
        <v>25</v>
      </c>
      <c r="H118" s="15" t="s">
        <v>27</v>
      </c>
      <c r="I118" s="10">
        <f>IF(Dashboard!$C$8="tons", H117, 0)</f>
        <v>0</v>
      </c>
      <c r="J118" s="10">
        <f>I121</f>
        <v>1.9356000000000002E-3</v>
      </c>
      <c r="K118" s="15" t="s">
        <v>27</v>
      </c>
    </row>
    <row r="119" spans="1:20">
      <c r="A119" s="60"/>
      <c r="C119" s="61"/>
      <c r="F119" s="34"/>
      <c r="G119" s="11" t="s">
        <v>26</v>
      </c>
      <c r="H119" s="15" t="s">
        <v>27</v>
      </c>
      <c r="I119" s="10">
        <f>IF(Dashboard!$C$8="Metric Tons", (H117/$T$128), 0)</f>
        <v>0</v>
      </c>
      <c r="J119" s="16">
        <f>I121*1000</f>
        <v>1.9356000000000002</v>
      </c>
      <c r="K119" s="15" t="s">
        <v>27</v>
      </c>
    </row>
    <row r="120" spans="1:20">
      <c r="A120" s="60"/>
      <c r="F120" s="34"/>
      <c r="G120" s="11" t="s">
        <v>22</v>
      </c>
      <c r="H120" s="15" t="s">
        <v>27</v>
      </c>
      <c r="I120" s="11">
        <f>IF(Dashboard!$C$8="Pounds", (H117*$T$130), 0)</f>
        <v>1.9356000000000002E-3</v>
      </c>
      <c r="J120" s="15" t="s">
        <v>27</v>
      </c>
      <c r="K120" s="15" t="s">
        <v>27</v>
      </c>
    </row>
    <row r="121" spans="1:20">
      <c r="A121" s="60"/>
      <c r="F121" s="34"/>
      <c r="G121" s="11" t="s">
        <v>23</v>
      </c>
      <c r="H121" s="15" t="s">
        <v>27</v>
      </c>
      <c r="I121" s="10">
        <f>SUM(I118:I120)</f>
        <v>1.9356000000000002E-3</v>
      </c>
      <c r="J121" s="17">
        <f>IF(Dashboard!$G$4="kWh", J118, J119)</f>
        <v>1.9356000000000002</v>
      </c>
      <c r="K121" s="17">
        <f>J121*Dashboard!$C$4</f>
        <v>1.9356000000000002</v>
      </c>
    </row>
    <row r="122" spans="1:20" ht="15.75" customHeight="1">
      <c r="A122" s="60"/>
      <c r="B122" s="61" t="s">
        <v>56</v>
      </c>
      <c r="C122" s="61" t="s">
        <v>57</v>
      </c>
      <c r="D122" s="62">
        <v>2.5844999999999998</v>
      </c>
      <c r="E122" s="62">
        <f>D122/($T$130*$T$125)</f>
        <v>1.29225E-6</v>
      </c>
      <c r="F122" s="34"/>
      <c r="G122" s="34"/>
      <c r="H122" s="34"/>
      <c r="I122" s="34"/>
      <c r="J122" s="34"/>
      <c r="K122" s="34"/>
    </row>
    <row r="123" spans="1:20" ht="64.5">
      <c r="A123" s="60"/>
      <c r="F123" s="34"/>
      <c r="G123" s="14"/>
      <c r="H123" s="8" t="s">
        <v>30</v>
      </c>
      <c r="I123" s="8" t="s">
        <v>31</v>
      </c>
      <c r="J123" s="8" t="s">
        <v>32</v>
      </c>
      <c r="K123" s="8" t="s">
        <v>33</v>
      </c>
    </row>
    <row r="124" spans="1:20" ht="30">
      <c r="A124" s="60"/>
      <c r="F124" s="34"/>
      <c r="G124" s="21" t="s">
        <v>61</v>
      </c>
      <c r="H124" s="18">
        <f>E122</f>
        <v>1.29225E-6</v>
      </c>
      <c r="I124" s="15" t="s">
        <v>27</v>
      </c>
      <c r="J124" s="19" t="str">
        <f>IF(Dashboard!$H$4="Metric Tons", (1/$C$128)*I124, I124)</f>
        <v>-</v>
      </c>
      <c r="K124" s="15" t="s">
        <v>27</v>
      </c>
      <c r="S124" s="27" t="s">
        <v>18</v>
      </c>
      <c r="T124" s="28"/>
    </row>
    <row r="125" spans="1:20">
      <c r="A125" s="60"/>
      <c r="B125" s="61"/>
      <c r="C125" s="61"/>
      <c r="F125" s="34"/>
      <c r="G125" s="11" t="s">
        <v>25</v>
      </c>
      <c r="H125" s="15" t="s">
        <v>27</v>
      </c>
      <c r="I125" s="10">
        <f>IF(Dashboard!$C$8="tons", H124, 0)</f>
        <v>0</v>
      </c>
      <c r="J125" s="10">
        <f>I128</f>
        <v>2.5845E-3</v>
      </c>
      <c r="K125" s="15" t="s">
        <v>27</v>
      </c>
      <c r="S125" s="7" t="s">
        <v>9</v>
      </c>
      <c r="T125" s="5">
        <v>1000</v>
      </c>
    </row>
    <row r="126" spans="1:20">
      <c r="A126" s="60"/>
      <c r="B126" s="61"/>
      <c r="C126" s="61"/>
      <c r="D126" s="61"/>
      <c r="F126" s="34"/>
      <c r="G126" s="11" t="s">
        <v>26</v>
      </c>
      <c r="H126" s="15" t="s">
        <v>27</v>
      </c>
      <c r="I126" s="10">
        <f>IF(Dashboard!$C$8="Metric Tons", (H124/$T$128), 0)</f>
        <v>0</v>
      </c>
      <c r="J126" s="16">
        <f>I128*1000</f>
        <v>2.5844999999999998</v>
      </c>
      <c r="K126" s="15" t="s">
        <v>27</v>
      </c>
      <c r="S126" s="7" t="s">
        <v>10</v>
      </c>
      <c r="T126" s="10">
        <v>1</v>
      </c>
    </row>
    <row r="127" spans="1:20">
      <c r="A127" s="60"/>
      <c r="C127" s="61"/>
      <c r="F127" s="34"/>
      <c r="G127" s="11" t="s">
        <v>22</v>
      </c>
      <c r="H127" s="15" t="s">
        <v>27</v>
      </c>
      <c r="I127" s="11">
        <f>IF(Dashboard!$C$8="Pounds", (H124*$T$130), 0)</f>
        <v>2.5845E-3</v>
      </c>
      <c r="J127" s="15" t="s">
        <v>27</v>
      </c>
      <c r="K127" s="15" t="s">
        <v>27</v>
      </c>
      <c r="S127" s="20"/>
      <c r="T127" s="12"/>
    </row>
    <row r="128" spans="1:20">
      <c r="A128" s="60"/>
      <c r="C128" s="61"/>
      <c r="D128" s="61"/>
      <c r="F128" s="34"/>
      <c r="G128" s="11" t="s">
        <v>23</v>
      </c>
      <c r="H128" s="15" t="s">
        <v>27</v>
      </c>
      <c r="I128" s="10">
        <f>SUM(I125:I127)</f>
        <v>2.5845E-3</v>
      </c>
      <c r="J128" s="17">
        <f>IF(Dashboard!$G$4="kWh", J125, J126)</f>
        <v>2.5844999999999998</v>
      </c>
      <c r="K128" s="17">
        <f>J128*Dashboard!$C$4</f>
        <v>2.5844999999999998</v>
      </c>
      <c r="S128" s="7" t="s">
        <v>8</v>
      </c>
      <c r="T128" s="11">
        <v>1.1023113099999999</v>
      </c>
    </row>
    <row r="129" spans="1:20" ht="15" customHeight="1">
      <c r="A129" s="60"/>
      <c r="B129" s="61" t="s">
        <v>44</v>
      </c>
      <c r="C129" s="61" t="s">
        <v>57</v>
      </c>
      <c r="D129" s="61">
        <v>1726.81</v>
      </c>
      <c r="E129" s="62">
        <f>D129/($T$130*$T$125)</f>
        <v>8.6340499999999992E-4</v>
      </c>
      <c r="F129" s="34"/>
      <c r="G129" s="34"/>
      <c r="H129" s="34"/>
      <c r="I129" s="34"/>
      <c r="J129" s="34"/>
      <c r="K129" s="34"/>
      <c r="S129" s="7" t="s">
        <v>11</v>
      </c>
      <c r="T129" s="10">
        <v>1</v>
      </c>
    </row>
    <row r="130" spans="1:20" ht="64.5">
      <c r="A130" s="60"/>
      <c r="F130" s="34"/>
      <c r="G130" s="14"/>
      <c r="H130" s="8" t="s">
        <v>30</v>
      </c>
      <c r="I130" s="8" t="s">
        <v>31</v>
      </c>
      <c r="J130" s="8" t="s">
        <v>32</v>
      </c>
      <c r="K130" s="8" t="s">
        <v>33</v>
      </c>
      <c r="S130" s="7" t="s">
        <v>24</v>
      </c>
      <c r="T130" s="10">
        <v>2000</v>
      </c>
    </row>
    <row r="131" spans="1:20" ht="30">
      <c r="A131" s="60"/>
      <c r="F131" s="34"/>
      <c r="G131" s="21" t="s">
        <v>61</v>
      </c>
      <c r="H131" s="18">
        <f>E129</f>
        <v>8.6340499999999992E-4</v>
      </c>
      <c r="I131" s="15" t="s">
        <v>27</v>
      </c>
      <c r="J131" s="19" t="str">
        <f>IF(Dashboard!$H$4="Metric Tons", (1/$C$128)*I131, I131)</f>
        <v>-</v>
      </c>
      <c r="K131" s="15" t="s">
        <v>27</v>
      </c>
    </row>
    <row r="132" spans="1:20">
      <c r="A132" s="60"/>
      <c r="C132" s="61"/>
      <c r="D132" s="61"/>
      <c r="F132" s="34"/>
      <c r="G132" s="11" t="s">
        <v>25</v>
      </c>
      <c r="H132" s="15" t="s">
        <v>27</v>
      </c>
      <c r="I132" s="10">
        <f>IF(Dashboard!$C$8="tons", H131, 0)</f>
        <v>0</v>
      </c>
      <c r="J132" s="10">
        <f>I135</f>
        <v>1.72681</v>
      </c>
      <c r="K132" s="15" t="s">
        <v>27</v>
      </c>
    </row>
    <row r="133" spans="1:20">
      <c r="A133" s="60"/>
      <c r="C133" s="61"/>
      <c r="D133" s="61"/>
      <c r="F133" s="34"/>
      <c r="G133" s="11" t="s">
        <v>26</v>
      </c>
      <c r="H133" s="15" t="s">
        <v>27</v>
      </c>
      <c r="I133" s="10">
        <f>IF(Dashboard!$C$8="Metric Tons", (H131/$T$128), 0)</f>
        <v>0</v>
      </c>
      <c r="J133" s="16">
        <f>I135*1000</f>
        <v>1726.81</v>
      </c>
      <c r="K133" s="15" t="s">
        <v>27</v>
      </c>
    </row>
    <row r="134" spans="1:20">
      <c r="A134" s="60"/>
      <c r="C134" s="61"/>
      <c r="D134" s="61"/>
      <c r="F134" s="34"/>
      <c r="G134" s="11" t="s">
        <v>22</v>
      </c>
      <c r="H134" s="15" t="s">
        <v>27</v>
      </c>
      <c r="I134" s="11">
        <f>IF(Dashboard!$C$8="Pounds", (H131*$T$130), 0)</f>
        <v>1.72681</v>
      </c>
      <c r="J134" s="15" t="s">
        <v>27</v>
      </c>
      <c r="K134" s="15" t="s">
        <v>27</v>
      </c>
    </row>
    <row r="135" spans="1:20">
      <c r="A135" s="60"/>
      <c r="D135" s="61"/>
      <c r="F135" s="34"/>
      <c r="G135" s="11" t="s">
        <v>23</v>
      </c>
      <c r="H135" s="15" t="s">
        <v>27</v>
      </c>
      <c r="I135" s="10">
        <f>SUM(I132:I134)</f>
        <v>1.72681</v>
      </c>
      <c r="J135" s="17">
        <f>IF(Dashboard!$G$4="kWh", J132, J133)</f>
        <v>1726.81</v>
      </c>
      <c r="K135" s="17">
        <f>J135*Dashboard!$C$4</f>
        <v>1726.81</v>
      </c>
    </row>
    <row r="136" spans="1:20" ht="14.25" customHeight="1">
      <c r="A136" s="60"/>
      <c r="B136" s="61" t="s">
        <v>54</v>
      </c>
      <c r="C136" s="61" t="s">
        <v>57</v>
      </c>
      <c r="D136" s="61">
        <v>8.0114000000000001</v>
      </c>
      <c r="E136" s="62">
        <f>D136/($T$130*$T$125)</f>
        <v>4.0057000000000005E-6</v>
      </c>
      <c r="F136" s="34"/>
      <c r="G136" s="34"/>
      <c r="H136" s="34"/>
      <c r="I136" s="34"/>
      <c r="J136" s="34"/>
      <c r="K136" s="34"/>
    </row>
    <row r="137" spans="1:20" ht="64.5">
      <c r="A137" s="60"/>
      <c r="F137" s="34"/>
      <c r="G137" s="14"/>
      <c r="H137" s="8" t="s">
        <v>30</v>
      </c>
      <c r="I137" s="8" t="s">
        <v>31</v>
      </c>
      <c r="J137" s="8" t="s">
        <v>32</v>
      </c>
      <c r="K137" s="8" t="s">
        <v>33</v>
      </c>
    </row>
    <row r="138" spans="1:20" ht="30">
      <c r="A138" s="60"/>
      <c r="F138" s="34"/>
      <c r="G138" s="21" t="s">
        <v>61</v>
      </c>
      <c r="H138" s="18">
        <f>E136</f>
        <v>4.0057000000000005E-6</v>
      </c>
      <c r="I138" s="15" t="s">
        <v>27</v>
      </c>
      <c r="J138" s="19" t="str">
        <f>IF(Dashboard!$H$4="Metric Tons", (1/$C$128)*I138, I138)</f>
        <v>-</v>
      </c>
      <c r="K138" s="15" t="s">
        <v>27</v>
      </c>
    </row>
    <row r="139" spans="1:20">
      <c r="A139" s="60"/>
      <c r="F139" s="34"/>
      <c r="G139" s="11" t="s">
        <v>25</v>
      </c>
      <c r="H139" s="15" t="s">
        <v>27</v>
      </c>
      <c r="I139" s="10">
        <f>IF(Dashboard!$C$8="tons", H138, 0)</f>
        <v>0</v>
      </c>
      <c r="J139" s="10">
        <f>I142</f>
        <v>8.0114000000000001E-3</v>
      </c>
      <c r="K139" s="15" t="s">
        <v>27</v>
      </c>
    </row>
    <row r="140" spans="1:20">
      <c r="A140" s="60"/>
      <c r="F140" s="34"/>
      <c r="G140" s="11" t="s">
        <v>26</v>
      </c>
      <c r="H140" s="15" t="s">
        <v>27</v>
      </c>
      <c r="I140" s="10">
        <f>IF(Dashboard!$C$8="Metric Tons", (H138/$T$128), 0)</f>
        <v>0</v>
      </c>
      <c r="J140" s="16">
        <f>I142*1000</f>
        <v>8.0114000000000001</v>
      </c>
      <c r="K140" s="15" t="s">
        <v>27</v>
      </c>
    </row>
    <row r="141" spans="1:20">
      <c r="A141" s="60"/>
      <c r="F141" s="34"/>
      <c r="G141" s="11" t="s">
        <v>22</v>
      </c>
      <c r="H141" s="15" t="s">
        <v>27</v>
      </c>
      <c r="I141" s="11">
        <f>IF(Dashboard!$C$8="Pounds", (H138*$T$130), 0)</f>
        <v>8.0114000000000001E-3</v>
      </c>
      <c r="J141" s="15" t="s">
        <v>27</v>
      </c>
      <c r="K141" s="15" t="s">
        <v>27</v>
      </c>
    </row>
    <row r="142" spans="1:20">
      <c r="A142" s="60"/>
      <c r="F142" s="34"/>
      <c r="G142" s="11" t="s">
        <v>23</v>
      </c>
      <c r="H142" s="15" t="s">
        <v>27</v>
      </c>
      <c r="I142" s="10">
        <f>SUM(I139:I141)</f>
        <v>8.0114000000000001E-3</v>
      </c>
      <c r="J142" s="17">
        <f>IF(Dashboard!$G$4="kWh", J139, J140)</f>
        <v>8.0114000000000001</v>
      </c>
      <c r="K142" s="17">
        <f>J142*Dashboard!$C$4</f>
        <v>8.0114000000000001</v>
      </c>
    </row>
    <row r="143" spans="1:20" ht="15.75" customHeight="1">
      <c r="A143" s="60" t="s">
        <v>48</v>
      </c>
      <c r="B143" s="61" t="s">
        <v>56</v>
      </c>
      <c r="C143" s="61" t="s">
        <v>0</v>
      </c>
      <c r="D143" s="62">
        <v>2.2945000000000002</v>
      </c>
      <c r="E143" s="62">
        <f>D143/($T$130*$T$125)</f>
        <v>1.1472500000000001E-6</v>
      </c>
      <c r="F143" s="34"/>
      <c r="G143" s="34"/>
      <c r="H143" s="34"/>
      <c r="I143" s="34"/>
      <c r="J143" s="34"/>
      <c r="K143" s="34"/>
    </row>
    <row r="144" spans="1:20" ht="64.5">
      <c r="A144" s="60"/>
      <c r="F144" s="34"/>
      <c r="G144" s="14"/>
      <c r="H144" s="8" t="s">
        <v>30</v>
      </c>
      <c r="I144" s="8" t="s">
        <v>31</v>
      </c>
      <c r="J144" s="8" t="s">
        <v>32</v>
      </c>
      <c r="K144" s="8" t="s">
        <v>33</v>
      </c>
    </row>
    <row r="145" spans="1:11" ht="30">
      <c r="A145" s="60"/>
      <c r="F145" s="34"/>
      <c r="G145" s="21" t="s">
        <v>61</v>
      </c>
      <c r="H145" s="18">
        <f>E143</f>
        <v>1.1472500000000001E-6</v>
      </c>
      <c r="I145" s="15" t="s">
        <v>27</v>
      </c>
      <c r="J145" s="19" t="str">
        <f>IF(Dashboard!$H$4="Metric Tons", (1/$C$128)*I145, I145)</f>
        <v>-</v>
      </c>
      <c r="K145" s="15" t="s">
        <v>27</v>
      </c>
    </row>
    <row r="146" spans="1:11">
      <c r="A146" s="60"/>
      <c r="F146" s="34"/>
      <c r="G146" s="11" t="s">
        <v>25</v>
      </c>
      <c r="H146" s="15" t="s">
        <v>27</v>
      </c>
      <c r="I146" s="10">
        <f>IF(Dashboard!$C$8="tons", H145, 0)</f>
        <v>0</v>
      </c>
      <c r="J146" s="10">
        <f>I149</f>
        <v>2.2945000000000001E-3</v>
      </c>
      <c r="K146" s="15" t="s">
        <v>27</v>
      </c>
    </row>
    <row r="147" spans="1:11">
      <c r="A147" s="60"/>
      <c r="C147" s="61"/>
      <c r="F147" s="34"/>
      <c r="G147" s="11" t="s">
        <v>26</v>
      </c>
      <c r="H147" s="15" t="s">
        <v>27</v>
      </c>
      <c r="I147" s="10">
        <f>IF(Dashboard!$C$8="Metric Tons", (H145/$T$128), 0)</f>
        <v>0</v>
      </c>
      <c r="J147" s="16">
        <f>I149*1000</f>
        <v>2.2945000000000002</v>
      </c>
      <c r="K147" s="15" t="s">
        <v>27</v>
      </c>
    </row>
    <row r="148" spans="1:11">
      <c r="A148" s="60"/>
      <c r="F148" s="34"/>
      <c r="G148" s="11" t="s">
        <v>22</v>
      </c>
      <c r="H148" s="15" t="s">
        <v>27</v>
      </c>
      <c r="I148" s="11">
        <f>IF(Dashboard!$C$8="Pounds", (H145*$T$130), 0)</f>
        <v>2.2945000000000001E-3</v>
      </c>
      <c r="J148" s="15" t="s">
        <v>27</v>
      </c>
      <c r="K148" s="15" t="s">
        <v>27</v>
      </c>
    </row>
    <row r="149" spans="1:11">
      <c r="A149" s="60"/>
      <c r="F149" s="34"/>
      <c r="G149" s="11" t="s">
        <v>23</v>
      </c>
      <c r="H149" s="15" t="s">
        <v>27</v>
      </c>
      <c r="I149" s="10">
        <f>SUM(I146:I148)</f>
        <v>2.2945000000000001E-3</v>
      </c>
      <c r="J149" s="17">
        <f>IF(Dashboard!$G$4="kWh", J146, J147)</f>
        <v>2.2945000000000002</v>
      </c>
      <c r="K149" s="17">
        <f>J149*Dashboard!$C$4</f>
        <v>2.2945000000000002</v>
      </c>
    </row>
    <row r="150" spans="1:11" ht="15" customHeight="1">
      <c r="A150" s="60"/>
      <c r="B150" s="61" t="s">
        <v>56</v>
      </c>
      <c r="C150" s="61" t="s">
        <v>57</v>
      </c>
      <c r="D150" s="62">
        <v>2.7681</v>
      </c>
      <c r="E150" s="62">
        <f>D150/($T$130*$T$125)</f>
        <v>1.3840499999999999E-6</v>
      </c>
      <c r="F150" s="34"/>
      <c r="G150" s="34"/>
      <c r="H150" s="34"/>
      <c r="I150" s="34"/>
      <c r="J150" s="34"/>
      <c r="K150" s="34"/>
    </row>
    <row r="151" spans="1:11" ht="64.5">
      <c r="A151" s="60"/>
      <c r="F151" s="34"/>
      <c r="G151" s="14"/>
      <c r="H151" s="8" t="s">
        <v>30</v>
      </c>
      <c r="I151" s="8" t="s">
        <v>31</v>
      </c>
      <c r="J151" s="8" t="s">
        <v>32</v>
      </c>
      <c r="K151" s="8" t="s">
        <v>33</v>
      </c>
    </row>
    <row r="152" spans="1:11" ht="30">
      <c r="A152" s="60"/>
      <c r="F152" s="34"/>
      <c r="G152" s="21" t="s">
        <v>61</v>
      </c>
      <c r="H152" s="18">
        <f>E150</f>
        <v>1.3840499999999999E-6</v>
      </c>
      <c r="I152" s="15" t="s">
        <v>27</v>
      </c>
      <c r="J152" s="19" t="str">
        <f>IF(Dashboard!$H$4="Metric Tons", (1/$C$128)*I152, I152)</f>
        <v>-</v>
      </c>
      <c r="K152" s="15" t="s">
        <v>27</v>
      </c>
    </row>
    <row r="153" spans="1:11">
      <c r="A153" s="60"/>
      <c r="B153" s="61"/>
      <c r="C153" s="61"/>
      <c r="F153" s="34"/>
      <c r="G153" s="11" t="s">
        <v>25</v>
      </c>
      <c r="H153" s="15" t="s">
        <v>27</v>
      </c>
      <c r="I153" s="10">
        <f>IF(Dashboard!$C$8="tons", H152, 0)</f>
        <v>0</v>
      </c>
      <c r="J153" s="10">
        <f>I156</f>
        <v>2.7680999999999999E-3</v>
      </c>
      <c r="K153" s="15" t="s">
        <v>27</v>
      </c>
    </row>
    <row r="154" spans="1:11">
      <c r="A154" s="60"/>
      <c r="B154" s="61"/>
      <c r="C154" s="61"/>
      <c r="D154" s="61"/>
      <c r="F154" s="34"/>
      <c r="G154" s="11" t="s">
        <v>26</v>
      </c>
      <c r="H154" s="15" t="s">
        <v>27</v>
      </c>
      <c r="I154" s="10">
        <f>IF(Dashboard!$C$8="Metric Tons", (H152/$T$128), 0)</f>
        <v>0</v>
      </c>
      <c r="J154" s="16">
        <f>I156*1000</f>
        <v>2.7681</v>
      </c>
      <c r="K154" s="15" t="s">
        <v>27</v>
      </c>
    </row>
    <row r="155" spans="1:11">
      <c r="A155" s="60"/>
      <c r="C155" s="61"/>
      <c r="F155" s="34"/>
      <c r="G155" s="11" t="s">
        <v>22</v>
      </c>
      <c r="H155" s="15" t="s">
        <v>27</v>
      </c>
      <c r="I155" s="11">
        <f>IF(Dashboard!$C$8="Pounds", (H152*$T$130), 0)</f>
        <v>2.7680999999999999E-3</v>
      </c>
      <c r="J155" s="15" t="s">
        <v>27</v>
      </c>
      <c r="K155" s="15" t="s">
        <v>27</v>
      </c>
    </row>
    <row r="156" spans="1:11">
      <c r="A156" s="60"/>
      <c r="C156" s="61"/>
      <c r="D156" s="61"/>
      <c r="F156" s="34"/>
      <c r="G156" s="11" t="s">
        <v>23</v>
      </c>
      <c r="H156" s="15" t="s">
        <v>27</v>
      </c>
      <c r="I156" s="10">
        <f>SUM(I153:I155)</f>
        <v>2.7680999999999999E-3</v>
      </c>
      <c r="J156" s="17">
        <f>IF(Dashboard!$G$4="kWh", J153, J154)</f>
        <v>2.7681</v>
      </c>
      <c r="K156" s="17">
        <f>J156*Dashboard!$C$4</f>
        <v>2.7681</v>
      </c>
    </row>
    <row r="157" spans="1:11" ht="14.25" customHeight="1">
      <c r="A157" s="60"/>
      <c r="B157" s="61" t="s">
        <v>44</v>
      </c>
      <c r="C157" s="61" t="s">
        <v>57</v>
      </c>
      <c r="D157" s="61">
        <v>1790.5</v>
      </c>
      <c r="E157" s="62">
        <f>D157/($T$130*$T$125)</f>
        <v>8.9525E-4</v>
      </c>
      <c r="F157" s="34"/>
      <c r="G157" s="34"/>
      <c r="H157" s="34"/>
      <c r="I157" s="34"/>
      <c r="J157" s="34"/>
      <c r="K157" s="34"/>
    </row>
    <row r="158" spans="1:11" ht="64.5">
      <c r="A158" s="60"/>
      <c r="F158" s="34"/>
      <c r="G158" s="14"/>
      <c r="H158" s="8" t="s">
        <v>30</v>
      </c>
      <c r="I158" s="8" t="s">
        <v>31</v>
      </c>
      <c r="J158" s="8" t="s">
        <v>32</v>
      </c>
      <c r="K158" s="8" t="s">
        <v>33</v>
      </c>
    </row>
    <row r="159" spans="1:11" ht="30">
      <c r="A159" s="60"/>
      <c r="F159" s="34"/>
      <c r="G159" s="21" t="s">
        <v>61</v>
      </c>
      <c r="H159" s="18">
        <f>E157</f>
        <v>8.9525E-4</v>
      </c>
      <c r="I159" s="15" t="s">
        <v>27</v>
      </c>
      <c r="J159" s="19" t="str">
        <f>IF(Dashboard!$H$4="Metric Tons", (1/$C$128)*I159, I159)</f>
        <v>-</v>
      </c>
      <c r="K159" s="15" t="s">
        <v>27</v>
      </c>
    </row>
    <row r="160" spans="1:11">
      <c r="A160" s="60"/>
      <c r="C160" s="61"/>
      <c r="D160" s="61"/>
      <c r="F160" s="34"/>
      <c r="G160" s="11" t="s">
        <v>25</v>
      </c>
      <c r="H160" s="15" t="s">
        <v>27</v>
      </c>
      <c r="I160" s="10">
        <f>IF(Dashboard!$C$8="tons", H159, 0)</f>
        <v>0</v>
      </c>
      <c r="J160" s="10">
        <f>I163</f>
        <v>1.7905</v>
      </c>
      <c r="K160" s="15" t="s">
        <v>27</v>
      </c>
    </row>
    <row r="161" spans="1:11">
      <c r="A161" s="60"/>
      <c r="C161" s="61"/>
      <c r="D161" s="61"/>
      <c r="F161" s="34"/>
      <c r="G161" s="11" t="s">
        <v>26</v>
      </c>
      <c r="H161" s="15" t="s">
        <v>27</v>
      </c>
      <c r="I161" s="10">
        <f>IF(Dashboard!$C$8="Metric Tons", (H159/$T$128), 0)</f>
        <v>0</v>
      </c>
      <c r="J161" s="16">
        <f>I163*1000</f>
        <v>1790.5</v>
      </c>
      <c r="K161" s="15" t="s">
        <v>27</v>
      </c>
    </row>
    <row r="162" spans="1:11">
      <c r="A162" s="60"/>
      <c r="C162" s="61"/>
      <c r="D162" s="61"/>
      <c r="F162" s="34"/>
      <c r="G162" s="11" t="s">
        <v>22</v>
      </c>
      <c r="H162" s="15" t="s">
        <v>27</v>
      </c>
      <c r="I162" s="11">
        <f>IF(Dashboard!$C$8="Pounds", (H159*$T$130), 0)</f>
        <v>1.7905</v>
      </c>
      <c r="J162" s="15" t="s">
        <v>27</v>
      </c>
      <c r="K162" s="15" t="s">
        <v>27</v>
      </c>
    </row>
    <row r="163" spans="1:11">
      <c r="A163" s="60"/>
      <c r="D163" s="61"/>
      <c r="F163" s="34"/>
      <c r="G163" s="11" t="s">
        <v>23</v>
      </c>
      <c r="H163" s="15" t="s">
        <v>27</v>
      </c>
      <c r="I163" s="10">
        <f>SUM(I160:I162)</f>
        <v>1.7905</v>
      </c>
      <c r="J163" s="17">
        <f>IF(Dashboard!$G$4="kWh", J160, J161)</f>
        <v>1790.5</v>
      </c>
      <c r="K163" s="17">
        <f>J163*Dashboard!$C$4</f>
        <v>1790.5</v>
      </c>
    </row>
    <row r="164" spans="1:11" ht="13.5" customHeight="1">
      <c r="A164" s="60"/>
      <c r="B164" s="61" t="s">
        <v>54</v>
      </c>
      <c r="C164" s="61" t="s">
        <v>57</v>
      </c>
      <c r="D164" s="61">
        <v>10.525600000000001</v>
      </c>
      <c r="E164" s="62">
        <f>D164/($T$130*$T$125)</f>
        <v>5.2628000000000007E-6</v>
      </c>
      <c r="F164" s="34"/>
      <c r="G164" s="34"/>
      <c r="H164" s="34"/>
      <c r="I164" s="34"/>
      <c r="J164" s="34"/>
      <c r="K164" s="34"/>
    </row>
    <row r="165" spans="1:11" ht="64.5">
      <c r="A165" s="60"/>
      <c r="F165" s="34"/>
      <c r="G165" s="14"/>
      <c r="H165" s="8" t="s">
        <v>30</v>
      </c>
      <c r="I165" s="8" t="s">
        <v>31</v>
      </c>
      <c r="J165" s="8" t="s">
        <v>32</v>
      </c>
      <c r="K165" s="8" t="s">
        <v>33</v>
      </c>
    </row>
    <row r="166" spans="1:11" ht="30">
      <c r="A166" s="60"/>
      <c r="F166" s="34"/>
      <c r="G166" s="21" t="s">
        <v>61</v>
      </c>
      <c r="H166" s="18">
        <f>E164</f>
        <v>5.2628000000000007E-6</v>
      </c>
      <c r="I166" s="15" t="s">
        <v>27</v>
      </c>
      <c r="J166" s="19" t="str">
        <f>IF(Dashboard!$H$4="Metric Tons", (1/$C$128)*I166, I166)</f>
        <v>-</v>
      </c>
      <c r="K166" s="15" t="s">
        <v>27</v>
      </c>
    </row>
    <row r="167" spans="1:11">
      <c r="A167" s="60"/>
      <c r="F167" s="34"/>
      <c r="G167" s="11" t="s">
        <v>25</v>
      </c>
      <c r="H167" s="15" t="s">
        <v>27</v>
      </c>
      <c r="I167" s="10">
        <f>IF(Dashboard!$C$8="tons", H166, 0)</f>
        <v>0</v>
      </c>
      <c r="J167" s="10">
        <f>I170</f>
        <v>1.0525600000000001E-2</v>
      </c>
      <c r="K167" s="15" t="s">
        <v>27</v>
      </c>
    </row>
    <row r="168" spans="1:11">
      <c r="A168" s="60"/>
      <c r="F168" s="34"/>
      <c r="G168" s="11" t="s">
        <v>26</v>
      </c>
      <c r="H168" s="15" t="s">
        <v>27</v>
      </c>
      <c r="I168" s="10">
        <f>IF(Dashboard!$C$8="Metric Tons", (H166/$T$128), 0)</f>
        <v>0</v>
      </c>
      <c r="J168" s="16">
        <f>I170*1000</f>
        <v>10.525600000000001</v>
      </c>
      <c r="K168" s="15" t="s">
        <v>27</v>
      </c>
    </row>
    <row r="169" spans="1:11">
      <c r="A169" s="60"/>
      <c r="F169" s="34"/>
      <c r="G169" s="11" t="s">
        <v>22</v>
      </c>
      <c r="H169" s="15" t="s">
        <v>27</v>
      </c>
      <c r="I169" s="11">
        <f>IF(Dashboard!$C$8="Pounds", (H166*$T$130), 0)</f>
        <v>1.0525600000000001E-2</v>
      </c>
      <c r="J169" s="15" t="s">
        <v>27</v>
      </c>
      <c r="K169" s="15" t="s">
        <v>27</v>
      </c>
    </row>
    <row r="170" spans="1:11">
      <c r="A170" s="60"/>
      <c r="F170" s="34"/>
      <c r="G170" s="11" t="s">
        <v>23</v>
      </c>
      <c r="H170" s="15" t="s">
        <v>27</v>
      </c>
      <c r="I170" s="10">
        <f>SUM(I167:I169)</f>
        <v>1.0525600000000001E-2</v>
      </c>
      <c r="J170" s="17">
        <f>IF(Dashboard!$G$4="kWh", J167, J168)</f>
        <v>10.525600000000001</v>
      </c>
      <c r="K170" s="17">
        <f>J170*Dashboard!$C$4</f>
        <v>10.525600000000001</v>
      </c>
    </row>
    <row r="171" spans="1:11" ht="15.75" customHeight="1">
      <c r="A171" s="60" t="s">
        <v>52</v>
      </c>
      <c r="B171" s="61" t="s">
        <v>56</v>
      </c>
      <c r="C171" s="61" t="s">
        <v>0</v>
      </c>
      <c r="D171" s="62">
        <v>1.825</v>
      </c>
      <c r="E171" s="62">
        <f>D171/($T$130*$T$125)</f>
        <v>9.1249999999999995E-7</v>
      </c>
      <c r="F171" s="34"/>
      <c r="G171" s="34"/>
      <c r="H171" s="34"/>
      <c r="I171" s="34"/>
      <c r="J171" s="34"/>
      <c r="K171" s="34"/>
    </row>
    <row r="172" spans="1:11" ht="64.5">
      <c r="A172" s="60"/>
      <c r="F172" s="34"/>
      <c r="G172" s="14"/>
      <c r="H172" s="8" t="s">
        <v>30</v>
      </c>
      <c r="I172" s="8" t="s">
        <v>31</v>
      </c>
      <c r="J172" s="8" t="s">
        <v>32</v>
      </c>
      <c r="K172" s="8" t="s">
        <v>33</v>
      </c>
    </row>
    <row r="173" spans="1:11" ht="30">
      <c r="A173" s="60"/>
      <c r="F173" s="34"/>
      <c r="G173" s="21" t="s">
        <v>61</v>
      </c>
      <c r="H173" s="18">
        <f>E171</f>
        <v>9.1249999999999995E-7</v>
      </c>
      <c r="I173" s="15" t="s">
        <v>27</v>
      </c>
      <c r="J173" s="19" t="str">
        <f>IF(Dashboard!$H$4="Metric Tons", (1/$C$128)*I173, I173)</f>
        <v>-</v>
      </c>
      <c r="K173" s="15" t="s">
        <v>27</v>
      </c>
    </row>
    <row r="174" spans="1:11">
      <c r="A174" s="60"/>
      <c r="F174" s="34"/>
      <c r="G174" s="11" t="s">
        <v>25</v>
      </c>
      <c r="H174" s="15" t="s">
        <v>27</v>
      </c>
      <c r="I174" s="10">
        <f>IF(Dashboard!$C$8="tons", H173, 0)</f>
        <v>0</v>
      </c>
      <c r="J174" s="10">
        <f>I177</f>
        <v>1.8249999999999998E-3</v>
      </c>
      <c r="K174" s="15" t="s">
        <v>27</v>
      </c>
    </row>
    <row r="175" spans="1:11">
      <c r="A175" s="60"/>
      <c r="C175" s="61"/>
      <c r="F175" s="34"/>
      <c r="G175" s="11" t="s">
        <v>26</v>
      </c>
      <c r="H175" s="15" t="s">
        <v>27</v>
      </c>
      <c r="I175" s="10">
        <f>IF(Dashboard!$C$8="Metric Tons", (H173/$T$128), 0)</f>
        <v>0</v>
      </c>
      <c r="J175" s="16">
        <f>I177*1000</f>
        <v>1.8249999999999997</v>
      </c>
      <c r="K175" s="15" t="s">
        <v>27</v>
      </c>
    </row>
    <row r="176" spans="1:11">
      <c r="A176" s="60"/>
      <c r="F176" s="34"/>
      <c r="G176" s="11" t="s">
        <v>22</v>
      </c>
      <c r="H176" s="15" t="s">
        <v>27</v>
      </c>
      <c r="I176" s="11">
        <f>IF(Dashboard!$C$8="Pounds", (H173*$T$130), 0)</f>
        <v>1.8249999999999998E-3</v>
      </c>
      <c r="J176" s="15" t="s">
        <v>27</v>
      </c>
      <c r="K176" s="15" t="s">
        <v>27</v>
      </c>
    </row>
    <row r="177" spans="1:11">
      <c r="A177" s="60"/>
      <c r="F177" s="34"/>
      <c r="G177" s="11" t="s">
        <v>23</v>
      </c>
      <c r="H177" s="15" t="s">
        <v>27</v>
      </c>
      <c r="I177" s="10">
        <f>SUM(I174:I176)</f>
        <v>1.8249999999999998E-3</v>
      </c>
      <c r="J177" s="17">
        <f>IF(Dashboard!$G$4="kWh", J174, J175)</f>
        <v>1.8249999999999997</v>
      </c>
      <c r="K177" s="17">
        <f>J177*Dashboard!$C$4</f>
        <v>1.8249999999999997</v>
      </c>
    </row>
    <row r="178" spans="1:11" ht="13.5" customHeight="1">
      <c r="A178" s="60"/>
      <c r="B178" s="61" t="s">
        <v>56</v>
      </c>
      <c r="C178" s="61" t="s">
        <v>57</v>
      </c>
      <c r="D178" s="62">
        <v>2.4878999999999998</v>
      </c>
      <c r="E178" s="62">
        <f>D178/($T$130*$T$125)</f>
        <v>1.24395E-6</v>
      </c>
      <c r="F178" s="34"/>
      <c r="G178" s="34"/>
      <c r="H178" s="34"/>
      <c r="I178" s="34"/>
      <c r="J178" s="34"/>
      <c r="K178" s="34"/>
    </row>
    <row r="179" spans="1:11" ht="64.5">
      <c r="A179" s="60"/>
      <c r="F179" s="34"/>
      <c r="G179" s="14"/>
      <c r="H179" s="8" t="s">
        <v>30</v>
      </c>
      <c r="I179" s="8" t="s">
        <v>31</v>
      </c>
      <c r="J179" s="8" t="s">
        <v>32</v>
      </c>
      <c r="K179" s="8" t="s">
        <v>33</v>
      </c>
    </row>
    <row r="180" spans="1:11" ht="30">
      <c r="A180" s="60"/>
      <c r="F180" s="34"/>
      <c r="G180" s="21" t="s">
        <v>61</v>
      </c>
      <c r="H180" s="18">
        <f>E178</f>
        <v>1.24395E-6</v>
      </c>
      <c r="I180" s="15" t="s">
        <v>27</v>
      </c>
      <c r="J180" s="19" t="str">
        <f>IF(Dashboard!$H$4="Metric Tons", (1/$C$128)*I180, I180)</f>
        <v>-</v>
      </c>
      <c r="K180" s="15" t="s">
        <v>27</v>
      </c>
    </row>
    <row r="181" spans="1:11">
      <c r="A181" s="60"/>
      <c r="B181" s="61"/>
      <c r="C181" s="61"/>
      <c r="F181" s="34"/>
      <c r="G181" s="11" t="s">
        <v>25</v>
      </c>
      <c r="H181" s="15" t="s">
        <v>27</v>
      </c>
      <c r="I181" s="10">
        <f>IF(Dashboard!$C$8="tons", H180, 0)</f>
        <v>0</v>
      </c>
      <c r="J181" s="10">
        <f>I184</f>
        <v>2.4878999999999999E-3</v>
      </c>
      <c r="K181" s="15" t="s">
        <v>27</v>
      </c>
    </row>
    <row r="182" spans="1:11">
      <c r="A182" s="60"/>
      <c r="B182" s="61"/>
      <c r="C182" s="61"/>
      <c r="D182" s="61"/>
      <c r="F182" s="34"/>
      <c r="G182" s="11" t="s">
        <v>26</v>
      </c>
      <c r="H182" s="15" t="s">
        <v>27</v>
      </c>
      <c r="I182" s="10">
        <f>IF(Dashboard!$C$8="Metric Tons", (H180/$T$128), 0)</f>
        <v>0</v>
      </c>
      <c r="J182" s="16">
        <f>I184*1000</f>
        <v>2.4878999999999998</v>
      </c>
      <c r="K182" s="15" t="s">
        <v>27</v>
      </c>
    </row>
    <row r="183" spans="1:11">
      <c r="A183" s="60"/>
      <c r="C183" s="61"/>
      <c r="F183" s="34"/>
      <c r="G183" s="11" t="s">
        <v>22</v>
      </c>
      <c r="H183" s="15" t="s">
        <v>27</v>
      </c>
      <c r="I183" s="11">
        <f>IF(Dashboard!$C$8="Pounds", (H180*$T$130), 0)</f>
        <v>2.4878999999999999E-3</v>
      </c>
      <c r="J183" s="15" t="s">
        <v>27</v>
      </c>
      <c r="K183" s="15" t="s">
        <v>27</v>
      </c>
    </row>
    <row r="184" spans="1:11">
      <c r="A184" s="60"/>
      <c r="C184" s="61"/>
      <c r="D184" s="61"/>
      <c r="F184" s="34"/>
      <c r="G184" s="11" t="s">
        <v>23</v>
      </c>
      <c r="H184" s="15" t="s">
        <v>27</v>
      </c>
      <c r="I184" s="10">
        <f>SUM(I181:I183)</f>
        <v>2.4878999999999999E-3</v>
      </c>
      <c r="J184" s="17">
        <f>IF(Dashboard!$G$4="kWh", J181, J182)</f>
        <v>2.4878999999999998</v>
      </c>
      <c r="K184" s="17">
        <f>J184*Dashboard!$C$4</f>
        <v>2.4878999999999998</v>
      </c>
    </row>
    <row r="185" spans="1:11" ht="15.75" customHeight="1">
      <c r="A185" s="60"/>
      <c r="B185" s="61" t="s">
        <v>44</v>
      </c>
      <c r="C185" s="61" t="s">
        <v>57</v>
      </c>
      <c r="D185" s="61">
        <v>1781.28</v>
      </c>
      <c r="E185" s="62">
        <f>D185/($T$130*$T$125)</f>
        <v>8.9063999999999994E-4</v>
      </c>
      <c r="F185" s="34"/>
      <c r="G185" s="34"/>
      <c r="H185" s="34"/>
      <c r="I185" s="34"/>
      <c r="J185" s="34"/>
      <c r="K185" s="34"/>
    </row>
    <row r="186" spans="1:11" ht="64.5">
      <c r="A186" s="60"/>
      <c r="F186" s="34"/>
      <c r="G186" s="14"/>
      <c r="H186" s="8" t="s">
        <v>30</v>
      </c>
      <c r="I186" s="8" t="s">
        <v>31</v>
      </c>
      <c r="J186" s="8" t="s">
        <v>32</v>
      </c>
      <c r="K186" s="8" t="s">
        <v>33</v>
      </c>
    </row>
    <row r="187" spans="1:11" ht="30">
      <c r="A187" s="60"/>
      <c r="F187" s="34"/>
      <c r="G187" s="21" t="s">
        <v>61</v>
      </c>
      <c r="H187" s="18">
        <f>E185</f>
        <v>8.9063999999999994E-4</v>
      </c>
      <c r="I187" s="15" t="s">
        <v>27</v>
      </c>
      <c r="J187" s="19" t="str">
        <f>IF(Dashboard!$H$4="Metric Tons", (1/$C$128)*I187, I187)</f>
        <v>-</v>
      </c>
      <c r="K187" s="15" t="s">
        <v>27</v>
      </c>
    </row>
    <row r="188" spans="1:11">
      <c r="A188" s="60"/>
      <c r="C188" s="61"/>
      <c r="D188" s="61"/>
      <c r="F188" s="34"/>
      <c r="G188" s="11" t="s">
        <v>25</v>
      </c>
      <c r="H188" s="15" t="s">
        <v>27</v>
      </c>
      <c r="I188" s="10">
        <f>IF(Dashboard!$C$8="tons", H187, 0)</f>
        <v>0</v>
      </c>
      <c r="J188" s="10">
        <f>I191</f>
        <v>1.78128</v>
      </c>
      <c r="K188" s="15" t="s">
        <v>27</v>
      </c>
    </row>
    <row r="189" spans="1:11">
      <c r="A189" s="60"/>
      <c r="C189" s="61"/>
      <c r="D189" s="61"/>
      <c r="F189" s="34"/>
      <c r="G189" s="11" t="s">
        <v>26</v>
      </c>
      <c r="H189" s="15" t="s">
        <v>27</v>
      </c>
      <c r="I189" s="10">
        <f>IF(Dashboard!$C$8="Metric Tons", (H187/$T$128), 0)</f>
        <v>0</v>
      </c>
      <c r="J189" s="16">
        <f>I191*1000</f>
        <v>1781.28</v>
      </c>
      <c r="K189" s="15" t="s">
        <v>27</v>
      </c>
    </row>
    <row r="190" spans="1:11">
      <c r="A190" s="60"/>
      <c r="C190" s="61"/>
      <c r="D190" s="61"/>
      <c r="F190" s="34"/>
      <c r="G190" s="11" t="s">
        <v>22</v>
      </c>
      <c r="H190" s="15" t="s">
        <v>27</v>
      </c>
      <c r="I190" s="11">
        <f>IF(Dashboard!$C$8="Pounds", (H187*$T$130), 0)</f>
        <v>1.78128</v>
      </c>
      <c r="J190" s="15" t="s">
        <v>27</v>
      </c>
      <c r="K190" s="15" t="s">
        <v>27</v>
      </c>
    </row>
    <row r="191" spans="1:11">
      <c r="A191" s="60"/>
      <c r="D191" s="61"/>
      <c r="F191" s="34"/>
      <c r="G191" s="11" t="s">
        <v>23</v>
      </c>
      <c r="H191" s="15" t="s">
        <v>27</v>
      </c>
      <c r="I191" s="10">
        <f>SUM(I188:I190)</f>
        <v>1.78128</v>
      </c>
      <c r="J191" s="17">
        <f>IF(Dashboard!$G$4="kWh", J188, J189)</f>
        <v>1781.28</v>
      </c>
      <c r="K191" s="17">
        <f>J191*Dashboard!$C$4</f>
        <v>1781.28</v>
      </c>
    </row>
    <row r="192" spans="1:11" ht="16.5" customHeight="1">
      <c r="A192" s="60"/>
      <c r="B192" s="61" t="s">
        <v>54</v>
      </c>
      <c r="C192" s="61" t="s">
        <v>57</v>
      </c>
      <c r="D192" s="61">
        <v>9.3314000000000004</v>
      </c>
      <c r="E192" s="62">
        <f>D192/($T$130*$T$125)</f>
        <v>4.6657000000000001E-6</v>
      </c>
      <c r="F192" s="34"/>
      <c r="G192" s="34"/>
      <c r="H192" s="34"/>
      <c r="I192" s="34"/>
      <c r="J192" s="34"/>
      <c r="K192" s="34"/>
    </row>
    <row r="193" spans="1:11" ht="64.5">
      <c r="A193" s="60"/>
      <c r="F193" s="34"/>
      <c r="G193" s="14"/>
      <c r="H193" s="8" t="s">
        <v>30</v>
      </c>
      <c r="I193" s="8" t="s">
        <v>31</v>
      </c>
      <c r="J193" s="8" t="s">
        <v>32</v>
      </c>
      <c r="K193" s="8" t="s">
        <v>33</v>
      </c>
    </row>
    <row r="194" spans="1:11" ht="30">
      <c r="A194" s="60"/>
      <c r="F194" s="34"/>
      <c r="G194" s="21" t="s">
        <v>61</v>
      </c>
      <c r="H194" s="18">
        <f>E192</f>
        <v>4.6657000000000001E-6</v>
      </c>
      <c r="I194" s="15" t="s">
        <v>27</v>
      </c>
      <c r="J194" s="19" t="str">
        <f>IF(Dashboard!$H$4="Metric Tons", (1/$C$128)*I194, I194)</f>
        <v>-</v>
      </c>
      <c r="K194" s="15" t="s">
        <v>27</v>
      </c>
    </row>
    <row r="195" spans="1:11">
      <c r="A195" s="60"/>
      <c r="F195" s="34"/>
      <c r="G195" s="11" t="s">
        <v>25</v>
      </c>
      <c r="H195" s="15" t="s">
        <v>27</v>
      </c>
      <c r="I195" s="10">
        <f>IF(Dashboard!$C$8="tons", H194, 0)</f>
        <v>0</v>
      </c>
      <c r="J195" s="10">
        <f>I198</f>
        <v>9.3314000000000001E-3</v>
      </c>
      <c r="K195" s="15" t="s">
        <v>27</v>
      </c>
    </row>
    <row r="196" spans="1:11">
      <c r="A196" s="60"/>
      <c r="F196" s="34"/>
      <c r="G196" s="11" t="s">
        <v>26</v>
      </c>
      <c r="H196" s="15" t="s">
        <v>27</v>
      </c>
      <c r="I196" s="10">
        <f>IF(Dashboard!$C$8="Metric Tons", (H194/$T$128), 0)</f>
        <v>0</v>
      </c>
      <c r="J196" s="16">
        <f>I198*1000</f>
        <v>9.3314000000000004</v>
      </c>
      <c r="K196" s="15" t="s">
        <v>27</v>
      </c>
    </row>
    <row r="197" spans="1:11">
      <c r="A197" s="60"/>
      <c r="F197" s="34"/>
      <c r="G197" s="11" t="s">
        <v>22</v>
      </c>
      <c r="H197" s="15" t="s">
        <v>27</v>
      </c>
      <c r="I197" s="11">
        <f>IF(Dashboard!$C$8="Pounds", (H194*$T$130), 0)</f>
        <v>9.3314000000000001E-3</v>
      </c>
      <c r="J197" s="15" t="s">
        <v>27</v>
      </c>
      <c r="K197" s="15" t="s">
        <v>27</v>
      </c>
    </row>
    <row r="198" spans="1:11">
      <c r="G198" s="11" t="s">
        <v>23</v>
      </c>
      <c r="H198" s="15" t="s">
        <v>27</v>
      </c>
      <c r="I198" s="10">
        <f>SUM(I195:I197)</f>
        <v>9.3314000000000001E-3</v>
      </c>
      <c r="J198" s="17">
        <f>IF(Dashboard!$G$4="kWh", J195, J196)</f>
        <v>9.3314000000000004</v>
      </c>
      <c r="K198" s="17">
        <f>J198*Dashboard!$C$4</f>
        <v>9.3314000000000004</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sheetPr codeName="Sheet4"/>
  <dimension ref="A1:AE51"/>
  <sheetViews>
    <sheetView topLeftCell="P4" zoomScaleNormal="100" workbookViewId="0">
      <selection activeCell="V32" sqref="V32"/>
    </sheetView>
  </sheetViews>
  <sheetFormatPr defaultRowHeight="12.75"/>
  <cols>
    <col min="1" max="1" width="20.7109375" customWidth="1"/>
    <col min="5" max="5" width="13.5703125" customWidth="1"/>
    <col min="7" max="7" width="10.85546875" customWidth="1"/>
    <col min="8" max="8" width="12" customWidth="1"/>
    <col min="9" max="9" width="11.5703125" customWidth="1"/>
    <col min="10" max="10" width="12" customWidth="1"/>
    <col min="11" max="11" width="10.7109375" customWidth="1"/>
    <col min="12" max="12" width="13.5703125" customWidth="1"/>
    <col min="13" max="13" width="11" customWidth="1"/>
    <col min="14" max="14" width="13.42578125" customWidth="1"/>
    <col min="15" max="15" width="10.140625" customWidth="1"/>
    <col min="16" max="16" width="10" customWidth="1"/>
    <col min="17" max="17" width="10.42578125" customWidth="1"/>
    <col min="18" max="18" width="12.5703125" customWidth="1"/>
    <col min="19" max="19" width="10.140625" customWidth="1"/>
    <col min="21" max="21" width="11.28515625" customWidth="1"/>
    <col min="22" max="22" width="14.85546875" customWidth="1"/>
    <col min="23" max="23" width="10.7109375" customWidth="1"/>
    <col min="24" max="24" width="14.85546875" customWidth="1"/>
    <col min="25" max="25" width="11.140625" customWidth="1"/>
    <col min="26" max="26" width="10.28515625" customWidth="1"/>
    <col min="29" max="29" width="9.7109375" customWidth="1"/>
    <col min="30" max="30" width="12.7109375" customWidth="1"/>
    <col min="31" max="31" width="10.7109375" customWidth="1"/>
  </cols>
  <sheetData>
    <row r="1" spans="1:31" ht="18.75" thickBot="1">
      <c r="A1" s="30"/>
      <c r="E1" s="400" t="s">
        <v>71</v>
      </c>
      <c r="F1" s="400"/>
      <c r="G1" s="400"/>
      <c r="H1" s="400"/>
      <c r="I1" s="400"/>
      <c r="J1" s="400"/>
      <c r="K1" s="400"/>
      <c r="M1" s="400" t="s">
        <v>72</v>
      </c>
      <c r="N1" s="400"/>
      <c r="O1" s="400"/>
      <c r="P1" s="400"/>
      <c r="Q1" s="400"/>
      <c r="R1" s="400"/>
      <c r="S1" s="400"/>
      <c r="T1" s="138"/>
      <c r="U1" s="400" t="s">
        <v>188</v>
      </c>
      <c r="V1" s="400"/>
      <c r="W1" s="400"/>
      <c r="X1" s="400"/>
      <c r="Y1" s="400"/>
      <c r="Z1" s="155"/>
      <c r="AA1" s="400" t="s">
        <v>187</v>
      </c>
      <c r="AB1" s="400"/>
      <c r="AC1" s="400"/>
      <c r="AD1" s="400"/>
      <c r="AE1" s="400"/>
    </row>
    <row r="2" spans="1:31" ht="28.5" customHeight="1" thickTop="1">
      <c r="E2" s="156"/>
      <c r="F2" s="41"/>
      <c r="G2" s="41"/>
      <c r="H2" s="41"/>
      <c r="I2" s="41"/>
      <c r="J2" s="41"/>
      <c r="K2" s="134"/>
      <c r="L2" s="34"/>
      <c r="M2" s="156"/>
      <c r="N2" s="41"/>
      <c r="O2" s="41"/>
      <c r="P2" s="41"/>
      <c r="Q2" s="41"/>
      <c r="R2" s="41"/>
      <c r="S2" s="134"/>
      <c r="T2" s="34"/>
      <c r="U2" s="156"/>
      <c r="V2" s="41"/>
      <c r="W2" s="41"/>
      <c r="X2" s="41"/>
      <c r="Y2" s="134"/>
      <c r="Z2" s="42"/>
      <c r="AA2" s="46" t="s">
        <v>63</v>
      </c>
      <c r="AB2" s="41"/>
      <c r="AC2" s="41"/>
      <c r="AD2" s="41"/>
      <c r="AE2" s="134"/>
    </row>
    <row r="3" spans="1:31" ht="24.75" customHeight="1">
      <c r="A3" s="131" t="s">
        <v>210</v>
      </c>
      <c r="E3" s="47"/>
      <c r="F3" s="34"/>
      <c r="G3" s="148" t="s">
        <v>70</v>
      </c>
      <c r="H3" s="148" t="s">
        <v>180</v>
      </c>
      <c r="I3" s="148" t="s">
        <v>181</v>
      </c>
      <c r="J3" s="149" t="s">
        <v>182</v>
      </c>
      <c r="K3" s="151" t="s">
        <v>183</v>
      </c>
      <c r="L3" s="150"/>
      <c r="M3" s="47"/>
      <c r="N3" s="37"/>
      <c r="O3" s="148" t="s">
        <v>70</v>
      </c>
      <c r="P3" s="148" t="s">
        <v>69</v>
      </c>
      <c r="Q3" s="148" t="s">
        <v>181</v>
      </c>
      <c r="R3" s="149" t="s">
        <v>182</v>
      </c>
      <c r="S3" s="151" t="s">
        <v>183</v>
      </c>
      <c r="U3" s="47"/>
      <c r="V3" s="148" t="s">
        <v>70</v>
      </c>
      <c r="W3" s="148" t="s">
        <v>181</v>
      </c>
      <c r="X3" s="149" t="s">
        <v>182</v>
      </c>
      <c r="Y3" s="151" t="s">
        <v>183</v>
      </c>
      <c r="AA3" s="47"/>
      <c r="AB3" s="148" t="s">
        <v>70</v>
      </c>
      <c r="AC3" s="148" t="s">
        <v>181</v>
      </c>
      <c r="AD3" s="149" t="s">
        <v>182</v>
      </c>
      <c r="AE3" s="151" t="s">
        <v>183</v>
      </c>
    </row>
    <row r="4" spans="1:31" ht="17.25" customHeight="1">
      <c r="A4" s="131" t="s">
        <v>211</v>
      </c>
      <c r="E4" s="42"/>
      <c r="F4" s="35" t="s">
        <v>46</v>
      </c>
      <c r="G4" s="34">
        <f>IF(Dashboard!$C$12 = A4, 'Output Sys. Avg. Rates'!$N$8, 0)</f>
        <v>3.4464000000000001</v>
      </c>
      <c r="H4" s="34">
        <f>IF(Dashboard!$C$17=F4, G4, 0)</f>
        <v>3.4464000000000001</v>
      </c>
      <c r="I4" s="34">
        <f>IF(Dashboard!$C$21=$A$8, H4, 0)</f>
        <v>0</v>
      </c>
      <c r="J4" s="34"/>
      <c r="K4" s="135">
        <f>IF($B$4=TRUE, 'Output Sys. Avg. Rates'!$O$8, 0)</f>
        <v>0</v>
      </c>
      <c r="L4" s="42"/>
      <c r="M4" s="42"/>
      <c r="N4" s="35" t="s">
        <v>46</v>
      </c>
      <c r="O4" s="34">
        <f>IF(Dashboard!$C$12 = A5, 'Non-Baseload Output Rates'!$J$8, 0)</f>
        <v>0</v>
      </c>
      <c r="P4" s="34">
        <f>IF(Dashboard!$C$17=N4, O4, 0)</f>
        <v>0</v>
      </c>
      <c r="Q4" s="34">
        <f>IF(Dashboard!$C$21=$A$8, P4, 0)</f>
        <v>0</v>
      </c>
      <c r="R4" s="34"/>
      <c r="S4" s="135" t="str">
        <f>IF($B$4=TRUE, 'Output Sys. Avg. Rates'!$O$8, " ")</f>
        <v xml:space="preserve"> </v>
      </c>
      <c r="U4" s="42"/>
      <c r="V4" s="34"/>
      <c r="W4" s="34"/>
      <c r="X4" s="34"/>
      <c r="Y4" s="135"/>
      <c r="AA4" s="42"/>
      <c r="AB4" s="34"/>
      <c r="AC4" s="34"/>
      <c r="AD4" s="34"/>
      <c r="AE4" s="135"/>
    </row>
    <row r="5" spans="1:31" ht="38.25">
      <c r="A5" s="39" t="s">
        <v>212</v>
      </c>
      <c r="E5" s="157" t="s">
        <v>63</v>
      </c>
      <c r="F5" s="35" t="s">
        <v>47</v>
      </c>
      <c r="G5" s="34">
        <f>IF(Dashboard!$C$12 = A4, 'Output Sys. Avg. Rates'!$N$37, 0)</f>
        <v>1.8400999999999998</v>
      </c>
      <c r="H5" s="34">
        <f>IF(Dashboard!$C$17=F5, G5, 0)</f>
        <v>0</v>
      </c>
      <c r="I5" s="34">
        <f>IF(Dashboard!$C$21=$A$8, H5, 0)</f>
        <v>0</v>
      </c>
      <c r="J5" s="34"/>
      <c r="K5" s="135">
        <f>IF($B$4=TRUE, 'Output Sys. Avg. Rates'!$O$37, 0)</f>
        <v>0</v>
      </c>
      <c r="L5" s="42"/>
      <c r="M5" s="157" t="s">
        <v>63</v>
      </c>
      <c r="N5" s="35" t="s">
        <v>47</v>
      </c>
      <c r="O5" s="34">
        <f>IF(Dashboard!$C$12 = A5, 'Non-Baseload Output Rates'!$J$37, 0)</f>
        <v>0</v>
      </c>
      <c r="P5" s="34">
        <f>IF(Dashboard!$C$17=N5, O5, 0)</f>
        <v>0</v>
      </c>
      <c r="Q5" s="34">
        <f>IF(Dashboard!$C$21=$A$8, P5, 0)</f>
        <v>0</v>
      </c>
      <c r="R5" s="34"/>
      <c r="S5" s="135" t="str">
        <f>IF($B$4=TRUE, 'Output Sys. Avg. Rates'!$O$37, " ")</f>
        <v xml:space="preserve"> </v>
      </c>
      <c r="U5" s="157" t="s">
        <v>63</v>
      </c>
      <c r="V5" s="34">
        <f>IF(Dashboard!$C$12=A3, 'Rate Lookup'!$L$9, 0)</f>
        <v>0</v>
      </c>
      <c r="W5" s="34">
        <f>IF(Dashboard!$C$21=$A$8, V5, 0)</f>
        <v>0</v>
      </c>
      <c r="X5" s="34"/>
      <c r="Y5" s="135"/>
      <c r="AA5" s="157" t="s">
        <v>63</v>
      </c>
      <c r="AB5" s="34">
        <f>'Rate Lookup'!$L$16</f>
        <v>0</v>
      </c>
      <c r="AC5" s="34">
        <f>IF(Dashboard!$C$21=$A$8, AB5, 0)</f>
        <v>0</v>
      </c>
      <c r="AD5" s="34"/>
      <c r="AE5" s="135"/>
    </row>
    <row r="6" spans="1:31">
      <c r="A6" s="131"/>
      <c r="E6" s="47"/>
      <c r="F6" s="35" t="s">
        <v>68</v>
      </c>
      <c r="G6" s="34">
        <f>IF(Dashboard!$C$12=A4,'Output Sys. Avg. Rates'!$N$65,0)</f>
        <v>1.2728999999999999</v>
      </c>
      <c r="H6" s="34">
        <f>IF(Dashboard!$C$17=F6, G6, 0)</f>
        <v>0</v>
      </c>
      <c r="I6" s="34">
        <f>IF(Dashboard!$C$21=$A$8, H6, 0)</f>
        <v>0</v>
      </c>
      <c r="J6" s="34"/>
      <c r="K6" s="135">
        <f>IF($B$4=TRUE, 'Output Sys. Avg. Rates'!$O$65, 0)</f>
        <v>0</v>
      </c>
      <c r="L6" s="42"/>
      <c r="M6" s="157"/>
      <c r="N6" s="35" t="s">
        <v>68</v>
      </c>
      <c r="O6" s="34">
        <f>IF(Dashboard!$C$12 = A5, 'Non-Baseload Output Rates'!$J$65, 0)</f>
        <v>0</v>
      </c>
      <c r="P6" s="34">
        <f>IF(Dashboard!$C$17=N6, O6, 0)</f>
        <v>0</v>
      </c>
      <c r="Q6" s="34">
        <f>IF(Dashboard!$C$21=$A$8, P6, 0)</f>
        <v>0</v>
      </c>
      <c r="R6" s="34"/>
      <c r="S6" s="135" t="str">
        <f>IF($B$4=TRUE, 'Output Sys. Avg. Rates'!$O$65, " ")</f>
        <v xml:space="preserve"> </v>
      </c>
      <c r="U6" s="157"/>
      <c r="V6" s="34"/>
      <c r="W6" s="34"/>
      <c r="X6" s="34"/>
      <c r="Y6" s="135"/>
      <c r="AA6" s="47"/>
      <c r="AB6" s="34"/>
      <c r="AC6" s="34"/>
      <c r="AD6" s="34"/>
      <c r="AE6" s="135"/>
    </row>
    <row r="7" spans="1:31">
      <c r="A7" s="35"/>
      <c r="E7" s="47"/>
      <c r="F7" s="35" t="s">
        <v>62</v>
      </c>
      <c r="G7" s="34">
        <f>IF(Dashboard!$C$12 = A4, 'Output Sys. Avg. Rates'!$N$93, 0)</f>
        <v>1.4179999999999999</v>
      </c>
      <c r="H7" s="34">
        <f>IF(Dashboard!$C$17=F7, G7, 0)</f>
        <v>0</v>
      </c>
      <c r="I7" s="34">
        <f>IF(Dashboard!$C$21=$A$8, H7, 0)</f>
        <v>0</v>
      </c>
      <c r="J7" s="34"/>
      <c r="K7" s="135">
        <f>IF($B$4=TRUE, 'Output Sys. Avg. Rates'!$O$93, 0)</f>
        <v>0</v>
      </c>
      <c r="L7" s="42"/>
      <c r="M7" s="157"/>
      <c r="N7" s="35" t="s">
        <v>62</v>
      </c>
      <c r="O7" s="34">
        <f>IF(Dashboard!$C$12 = A5, 'Non-Baseload Output Rates'!$J$93, 0)</f>
        <v>0</v>
      </c>
      <c r="P7" s="34">
        <f>IF(Dashboard!$C$17=N7, O7, 0)</f>
        <v>0</v>
      </c>
      <c r="Q7" s="34">
        <f>IF(Dashboard!$C$21=$A$8, P7, 0)</f>
        <v>0</v>
      </c>
      <c r="R7" s="34"/>
      <c r="S7" s="135" t="str">
        <f>IF($B$4=TRUE, 'Output Sys. Avg. Rates'!$O$93, " ")</f>
        <v xml:space="preserve"> </v>
      </c>
      <c r="U7" s="157"/>
      <c r="V7" s="34"/>
      <c r="W7" s="34"/>
      <c r="X7" s="34"/>
      <c r="Y7" s="135"/>
      <c r="AA7" s="47"/>
      <c r="AB7" s="34"/>
      <c r="AC7" s="34"/>
      <c r="AD7" s="34"/>
      <c r="AE7" s="135"/>
    </row>
    <row r="8" spans="1:31">
      <c r="A8" s="9" t="s">
        <v>214</v>
      </c>
      <c r="E8" s="47"/>
      <c r="F8" s="35" t="s">
        <v>53</v>
      </c>
      <c r="G8" s="34">
        <f>IF(Dashboard!$C$12 = A4, 'Output Sys. Avg. Rates'!$N$121, 0)</f>
        <v>1.3027</v>
      </c>
      <c r="H8" s="34">
        <f>IF(Dashboard!$C$17=F8, G8, 0)</f>
        <v>0</v>
      </c>
      <c r="I8" s="34">
        <f>IF(Dashboard!$C$21=$A$8, H8, 0)</f>
        <v>0</v>
      </c>
      <c r="J8" s="34"/>
      <c r="K8" s="135">
        <f>IF($B$4=TRUE, 'Output Sys. Avg. Rates'!$O$121, 0)</f>
        <v>0</v>
      </c>
      <c r="L8" s="42"/>
      <c r="M8" s="157"/>
      <c r="N8" s="35" t="s">
        <v>53</v>
      </c>
      <c r="O8" s="34">
        <f>IF(Dashboard!$C$12 = A5, 'Non-Baseload Output Rates'!$J$121, 0)</f>
        <v>0</v>
      </c>
      <c r="P8" s="34">
        <f>IF(Dashboard!$C$17=N8, O8, 0)</f>
        <v>0</v>
      </c>
      <c r="Q8" s="34">
        <f>IF(Dashboard!$C$21=$A$8, P8, 0)</f>
        <v>0</v>
      </c>
      <c r="R8" s="34"/>
      <c r="S8" s="135" t="str">
        <f>IF($B$4=TRUE, 'Output Sys. Avg. Rates'!$O$121, " ")</f>
        <v xml:space="preserve"> </v>
      </c>
      <c r="U8" s="157"/>
      <c r="V8" s="34"/>
      <c r="W8" s="34"/>
      <c r="X8" s="34"/>
      <c r="Y8" s="135"/>
      <c r="AA8" s="47"/>
      <c r="AB8" s="34"/>
      <c r="AC8" s="34"/>
      <c r="AD8" s="34"/>
      <c r="AE8" s="135"/>
    </row>
    <row r="9" spans="1:31">
      <c r="A9" s="9" t="s">
        <v>203</v>
      </c>
      <c r="E9" s="47"/>
      <c r="F9" s="35" t="s">
        <v>48</v>
      </c>
      <c r="G9" s="34">
        <f>IF(Dashboard!$C$12 = A4, 'Output Sys. Avg. Rates'!$N$149, 0)</f>
        <v>1.1707000000000001</v>
      </c>
      <c r="H9" s="34">
        <f>IF(Dashboard!$C$17=F9, G9, 0)</f>
        <v>0</v>
      </c>
      <c r="I9" s="34">
        <f>IF(Dashboard!$C$21=$A$8, H9, 0)</f>
        <v>0</v>
      </c>
      <c r="J9" s="34"/>
      <c r="K9" s="135">
        <f>IF($B$4=TRUE, 'Output Sys. Avg. Rates'!$O$149, 0)</f>
        <v>0</v>
      </c>
      <c r="L9" s="42"/>
      <c r="M9" s="157"/>
      <c r="N9" s="35" t="s">
        <v>48</v>
      </c>
      <c r="O9" s="34">
        <f>IF(Dashboard!$C$12 = A5, 'Non-Baseload Output Rates'!$J$149, 0)</f>
        <v>0</v>
      </c>
      <c r="P9" s="34">
        <f>IF(Dashboard!$C$17=N9, O9, 0)</f>
        <v>0</v>
      </c>
      <c r="Q9" s="34">
        <f>IF(Dashboard!$C$21=$A$8, P9, 0)</f>
        <v>0</v>
      </c>
      <c r="R9" s="34"/>
      <c r="S9" s="135" t="str">
        <f>IF($B$4=TRUE, 'Output Sys. Avg. Rates'!$O$149, " ")</f>
        <v xml:space="preserve"> </v>
      </c>
      <c r="U9" s="157"/>
      <c r="V9" s="34"/>
      <c r="W9" s="34"/>
      <c r="X9" s="34"/>
      <c r="Y9" s="135"/>
      <c r="AA9" s="47"/>
      <c r="AB9" s="34"/>
      <c r="AC9" s="34"/>
      <c r="AD9" s="34"/>
      <c r="AE9" s="135"/>
    </row>
    <row r="10" spans="1:31">
      <c r="A10" s="9" t="s">
        <v>204</v>
      </c>
      <c r="E10" s="47"/>
      <c r="F10" s="35" t="s">
        <v>52</v>
      </c>
      <c r="G10" s="34">
        <f>IF(Dashboard!$C$12 = A4, 'Output Sys. Avg. Rates'!$N$177, 0)</f>
        <v>0.96719999999999995</v>
      </c>
      <c r="H10" s="34">
        <f>IF(Dashboard!$C$17=F10, G10, 0)</f>
        <v>0</v>
      </c>
      <c r="I10" s="34">
        <f>IF(Dashboard!$C$21=$A$8, H10, 0)</f>
        <v>0</v>
      </c>
      <c r="J10" s="34"/>
      <c r="K10" s="135">
        <f>IF($B$4=TRUE, 'Output Sys. Avg. Rates'!$O$177, 0)</f>
        <v>0</v>
      </c>
      <c r="L10" s="42"/>
      <c r="M10" s="157"/>
      <c r="N10" s="35" t="s">
        <v>52</v>
      </c>
      <c r="O10" s="34">
        <f>IF(Dashboard!$C$12 = A5, 'Non-Baseload Output Rates'!$J$177, 0)</f>
        <v>0</v>
      </c>
      <c r="P10" s="34">
        <f>IF(Dashboard!$C$17=N10, O10, 0)</f>
        <v>0</v>
      </c>
      <c r="Q10" s="34">
        <f>IF(Dashboard!$C$21=$A$8, P10, 0)</f>
        <v>0</v>
      </c>
      <c r="R10" s="34"/>
      <c r="S10" s="135"/>
      <c r="U10" s="157"/>
      <c r="V10" s="34"/>
      <c r="W10" s="34"/>
      <c r="X10" s="34"/>
      <c r="Y10" s="135"/>
      <c r="AA10" s="47"/>
      <c r="AB10" s="34"/>
      <c r="AC10" s="34"/>
      <c r="AD10" s="34"/>
      <c r="AE10" s="135"/>
    </row>
    <row r="11" spans="1:31">
      <c r="A11" s="35"/>
      <c r="E11" s="47"/>
      <c r="F11" s="34"/>
      <c r="G11" s="40" t="s">
        <v>23</v>
      </c>
      <c r="H11" s="35">
        <f>SUM(H4:H10)</f>
        <v>3.4464000000000001</v>
      </c>
      <c r="I11" s="34">
        <f>IF(Dashboard!$C$21=$A$8, H11, 0)</f>
        <v>0</v>
      </c>
      <c r="K11" s="135">
        <f>IF($B$4=TRUE, 'Output Sys. Avg. Rates'!$O$121, 0)</f>
        <v>0</v>
      </c>
      <c r="L11" s="137"/>
      <c r="M11" s="157"/>
      <c r="N11" s="34"/>
      <c r="O11" s="40" t="s">
        <v>23</v>
      </c>
      <c r="P11" s="35">
        <f>SUM(P4:P10)</f>
        <v>0</v>
      </c>
      <c r="Q11" s="35">
        <f>IF(Dashboard!$C$21=$A$8, P11, 0)</f>
        <v>0</v>
      </c>
      <c r="R11" s="30"/>
      <c r="S11" s="135"/>
      <c r="U11" s="157"/>
      <c r="V11" s="34"/>
      <c r="W11" s="34"/>
      <c r="X11" s="34"/>
      <c r="Y11" s="135"/>
      <c r="AA11" s="47"/>
      <c r="AB11" s="34"/>
      <c r="AC11" s="34"/>
      <c r="AD11" s="34"/>
      <c r="AE11" s="135"/>
    </row>
    <row r="12" spans="1:31">
      <c r="A12" s="9" t="s">
        <v>57</v>
      </c>
      <c r="B12" t="s">
        <v>57</v>
      </c>
      <c r="E12" s="47"/>
      <c r="F12" s="34"/>
      <c r="G12" s="160"/>
      <c r="H12" s="34"/>
      <c r="I12" s="34"/>
      <c r="J12" s="35"/>
      <c r="K12" s="158"/>
      <c r="L12" s="42"/>
      <c r="M12" s="157"/>
      <c r="N12" s="34"/>
      <c r="O12" s="34"/>
      <c r="P12" s="35"/>
      <c r="Q12" s="35"/>
      <c r="R12" s="35"/>
      <c r="S12" s="158"/>
      <c r="U12" s="157"/>
      <c r="V12" s="34"/>
      <c r="W12" s="34"/>
      <c r="X12" s="34"/>
      <c r="Y12" s="135"/>
      <c r="AA12" s="47"/>
      <c r="AB12" s="34"/>
      <c r="AC12" s="34"/>
      <c r="AD12" s="34"/>
      <c r="AE12" s="135"/>
    </row>
    <row r="13" spans="1:31">
      <c r="A13" s="9" t="s">
        <v>0</v>
      </c>
      <c r="E13" s="47"/>
      <c r="F13" s="34"/>
      <c r="G13" s="160"/>
      <c r="H13" s="34"/>
      <c r="I13" s="34"/>
      <c r="J13" s="35"/>
      <c r="K13" s="158"/>
      <c r="L13" s="42"/>
      <c r="M13" s="157"/>
      <c r="N13" s="34"/>
      <c r="O13" s="34"/>
      <c r="P13" s="35"/>
      <c r="Q13" s="35"/>
      <c r="R13" s="35"/>
      <c r="S13" s="158"/>
      <c r="U13" s="157"/>
      <c r="V13" s="34"/>
      <c r="W13" s="34"/>
      <c r="X13" s="34"/>
      <c r="Y13" s="135"/>
      <c r="AA13" s="47"/>
      <c r="AB13" s="34"/>
      <c r="AC13" s="34"/>
      <c r="AD13" s="34"/>
      <c r="AE13" s="135"/>
    </row>
    <row r="14" spans="1:31" ht="25.5">
      <c r="E14" s="157" t="s">
        <v>64</v>
      </c>
      <c r="F14" s="34"/>
      <c r="G14" s="160"/>
      <c r="H14" s="34"/>
      <c r="I14" s="34"/>
      <c r="J14" s="35"/>
      <c r="K14" s="158"/>
      <c r="L14" s="42"/>
      <c r="M14" s="157" t="s">
        <v>64</v>
      </c>
      <c r="N14" s="34"/>
      <c r="O14" s="34"/>
      <c r="P14" s="35"/>
      <c r="Q14" s="35"/>
      <c r="R14" s="35"/>
      <c r="S14" s="158"/>
      <c r="U14" s="157" t="s">
        <v>64</v>
      </c>
      <c r="V14" s="34">
        <f>IF(Dashboard!$C$12=A3, 'Rate Lookup'!L38, 0)</f>
        <v>0</v>
      </c>
      <c r="W14" s="34">
        <f>IF(Dashboard!$C$21=$A$8, V14, 0)</f>
        <v>0</v>
      </c>
      <c r="X14" s="34">
        <f>IF(Dashboard!$G$21=$A$12, W14, W5)</f>
        <v>0</v>
      </c>
      <c r="Y14" s="135">
        <f>X14*Dashboard!$C$4</f>
        <v>0</v>
      </c>
      <c r="AA14" s="48" t="s">
        <v>64</v>
      </c>
      <c r="AB14" s="234">
        <f>'Rate Lookup'!$L$45</f>
        <v>0</v>
      </c>
      <c r="AC14" s="34">
        <f>IF(Dashboard!$C$21=$A$8, AB14, 0)</f>
        <v>0</v>
      </c>
      <c r="AD14" s="34">
        <f>IF(Dashboard!$G$21=$A$12, AC14, AC5)</f>
        <v>0</v>
      </c>
      <c r="AE14" s="135">
        <f>AD14*Dashboard!$C$4</f>
        <v>0</v>
      </c>
    </row>
    <row r="15" spans="1:31">
      <c r="A15" s="233" t="s">
        <v>1</v>
      </c>
      <c r="E15" s="47"/>
      <c r="F15" s="35" t="s">
        <v>46</v>
      </c>
      <c r="G15" s="160">
        <f>IF(Dashboard!$C$12 = A4, 'Output Sys. Avg. Rates'!$N$15, 0)</f>
        <v>3.6537999999999999</v>
      </c>
      <c r="H15" s="34">
        <f>IF(Dashboard!$C$17=F15, G15, 0)</f>
        <v>3.6537999999999999</v>
      </c>
      <c r="I15" s="34">
        <f>IF(Dashboard!$C$21=$A$8, H15, 0)</f>
        <v>0</v>
      </c>
      <c r="J15" s="35"/>
      <c r="K15" s="158">
        <f>IF($B$4=TRUE, 'Output Sys. Avg. Rates'!$O$15, 0)</f>
        <v>0</v>
      </c>
      <c r="L15" s="42"/>
      <c r="M15" s="157"/>
      <c r="N15" s="35" t="s">
        <v>46</v>
      </c>
      <c r="O15" s="34">
        <f>IF(Dashboard!$C$12 = A5, 'Non-Baseload Output Rates'!$J$15, 0)</f>
        <v>0</v>
      </c>
      <c r="P15" s="35">
        <f>IF(Dashboard!$C$17=N15, O15, 0)</f>
        <v>0</v>
      </c>
      <c r="Q15" s="35">
        <f>IF(Dashboard!$C$21=$A$8, P15, 0)</f>
        <v>0</v>
      </c>
      <c r="R15" s="35"/>
      <c r="S15" s="158">
        <f>IF($B$4=TRUE, 'Output Sys. Avg. Rates'!$O$15, 0)</f>
        <v>0</v>
      </c>
      <c r="U15" s="157"/>
      <c r="V15" s="34"/>
      <c r="W15" s="34"/>
      <c r="X15" s="34"/>
      <c r="Y15" s="135"/>
      <c r="AA15" s="47"/>
      <c r="AB15" s="34"/>
      <c r="AC15" s="34"/>
      <c r="AD15" s="34"/>
      <c r="AE15" s="135"/>
    </row>
    <row r="16" spans="1:31">
      <c r="A16" s="233" t="s">
        <v>2</v>
      </c>
      <c r="E16" s="47"/>
      <c r="F16" s="35" t="s">
        <v>47</v>
      </c>
      <c r="G16" s="160">
        <f>IF(Dashboard!$C$12 = A4, 'Output Sys. Avg. Rates'!$N$44, 0)</f>
        <v>2.4622000000000002</v>
      </c>
      <c r="H16" s="34">
        <f>IF(Dashboard!$C$17=F16, G16, 0)</f>
        <v>0</v>
      </c>
      <c r="I16" s="34">
        <f>IF(Dashboard!$C$21=$A$8, H16, 0)</f>
        <v>0</v>
      </c>
      <c r="J16" s="35"/>
      <c r="K16" s="158">
        <f>IF($B$4=TRUE, 'Output Sys. Avg. Rates'!$O$44, 0)</f>
        <v>0</v>
      </c>
      <c r="L16" s="42"/>
      <c r="M16" s="157"/>
      <c r="N16" s="35" t="s">
        <v>47</v>
      </c>
      <c r="O16" s="34">
        <f>IF(Dashboard!$C$12 = A5, 'Non-Baseload Output Rates'!$J$44, 0)</f>
        <v>0</v>
      </c>
      <c r="P16" s="35">
        <f>IF(Dashboard!$C$17=N16, O16, 0)</f>
        <v>0</v>
      </c>
      <c r="Q16" s="35">
        <f>IF(Dashboard!$C$21=$A$8, P16, 0)</f>
        <v>0</v>
      </c>
      <c r="R16" s="35"/>
      <c r="S16" s="158">
        <f>IF($B$4=TRUE, 'Output Sys. Avg. Rates'!$O$44, 0)</f>
        <v>0</v>
      </c>
      <c r="U16" s="157"/>
      <c r="V16" s="34"/>
      <c r="W16" s="34"/>
      <c r="X16" s="34"/>
      <c r="Y16" s="135"/>
      <c r="AA16" s="47"/>
      <c r="AB16" s="34"/>
      <c r="AC16" s="34"/>
      <c r="AD16" s="34"/>
      <c r="AE16" s="135"/>
    </row>
    <row r="17" spans="1:31">
      <c r="A17" s="233" t="s">
        <v>5</v>
      </c>
      <c r="E17" s="47"/>
      <c r="F17" s="35" t="s">
        <v>68</v>
      </c>
      <c r="G17" s="160">
        <f>IF(Dashboard!$C$12 = A4, 'Output Sys. Avg. Rates'!$N$72, 0)</f>
        <v>1.7889999999999999</v>
      </c>
      <c r="H17" s="34">
        <f>IF(Dashboard!$C$17=F17, G17, 0)</f>
        <v>0</v>
      </c>
      <c r="I17" s="34">
        <f>IF(Dashboard!$C$21=$A$8, H17, 0)</f>
        <v>0</v>
      </c>
      <c r="J17" s="35"/>
      <c r="K17" s="158">
        <f>IF($B$4=TRUE, 'Output Sys. Avg. Rates'!$O$72, 0)</f>
        <v>0</v>
      </c>
      <c r="L17" s="42"/>
      <c r="M17" s="157"/>
      <c r="N17" s="35" t="s">
        <v>68</v>
      </c>
      <c r="O17" s="34">
        <f>IF(Dashboard!$C$12 = A5, 'Non-Baseload Output Rates'!$J$72, 0)</f>
        <v>0</v>
      </c>
      <c r="P17" s="35">
        <f>IF(Dashboard!$C$17=N17, O17, 0)</f>
        <v>0</v>
      </c>
      <c r="Q17" s="35">
        <f>IF(Dashboard!$C$21=$A$8, P17, 0)</f>
        <v>0</v>
      </c>
      <c r="R17" s="35"/>
      <c r="S17" s="158">
        <f>IF($B$4=TRUE, 'Output Sys. Avg. Rates'!$O$72, 0)</f>
        <v>0</v>
      </c>
      <c r="U17" s="157"/>
      <c r="V17" s="34"/>
      <c r="W17" s="34"/>
      <c r="X17" s="34"/>
      <c r="Y17" s="135"/>
      <c r="AA17" s="47"/>
      <c r="AB17" s="34"/>
      <c r="AC17" s="34"/>
      <c r="AD17" s="34"/>
      <c r="AE17" s="135"/>
    </row>
    <row r="18" spans="1:31">
      <c r="A18" s="233" t="s">
        <v>3</v>
      </c>
      <c r="E18" s="47"/>
      <c r="F18" s="35" t="s">
        <v>62</v>
      </c>
      <c r="G18" s="160">
        <f>IF(Dashboard!$C$12 = A4, 'Output Sys. Avg. Rates'!$N$100, 0)</f>
        <v>2.2880000000000003</v>
      </c>
      <c r="H18" s="34">
        <f>IF(Dashboard!$C$17=F18, G18, 0)</f>
        <v>0</v>
      </c>
      <c r="I18" s="34">
        <f>IF(Dashboard!$C$21=$A$8, H18, 0)</f>
        <v>0</v>
      </c>
      <c r="J18" s="35"/>
      <c r="K18" s="158">
        <f>IF($B$4=TRUE, 'Output Sys. Avg. Rates'!$O$100, 0)</f>
        <v>0</v>
      </c>
      <c r="L18" s="42"/>
      <c r="M18" s="157"/>
      <c r="N18" s="35" t="s">
        <v>62</v>
      </c>
      <c r="O18" s="34">
        <f>IF(Dashboard!$C$12 = A5, 'Non-Baseload Output Rates'!$J$100, 0)</f>
        <v>0</v>
      </c>
      <c r="P18" s="35">
        <f>IF(Dashboard!$C$17=N18, O18, 0)</f>
        <v>0</v>
      </c>
      <c r="Q18" s="35">
        <f>IF(Dashboard!$C$21=$A$8, P18, 0)</f>
        <v>0</v>
      </c>
      <c r="R18" s="35"/>
      <c r="S18" s="158">
        <f>IF($B$4=TRUE, 'Output Sys. Avg. Rates'!$O$100, 0)</f>
        <v>0</v>
      </c>
      <c r="U18" s="157"/>
      <c r="V18" s="34"/>
      <c r="W18" s="34"/>
      <c r="X18" s="34"/>
      <c r="Y18" s="135"/>
      <c r="AA18" s="47"/>
      <c r="AB18" s="34"/>
      <c r="AC18" s="34"/>
      <c r="AD18" s="34"/>
      <c r="AE18" s="135"/>
    </row>
    <row r="19" spans="1:31">
      <c r="A19" s="233" t="s">
        <v>4</v>
      </c>
      <c r="E19" s="47"/>
      <c r="F19" s="35" t="s">
        <v>53</v>
      </c>
      <c r="G19" s="160">
        <f>IF(Dashboard!$C$12 = A4, 'Output Sys. Avg. Rates'!$N$121, 0)</f>
        <v>1.3027</v>
      </c>
      <c r="H19" s="34">
        <f>IF(Dashboard!$C$17=F19, G19, 0)</f>
        <v>0</v>
      </c>
      <c r="I19" s="34">
        <f>IF(Dashboard!$C$21=$A$8, H19, 0)</f>
        <v>0</v>
      </c>
      <c r="J19" s="35"/>
      <c r="K19" s="158">
        <f>IF($B$4=TRUE, 'Output Sys. Avg. Rates'!$O$121, 0)</f>
        <v>0</v>
      </c>
      <c r="L19" s="42"/>
      <c r="M19" s="157"/>
      <c r="N19" s="35" t="s">
        <v>53</v>
      </c>
      <c r="O19" s="34">
        <f>IF(Dashboard!$C$12 = A5, 'Non-Baseload Output Rates'!$J$121, 0)</f>
        <v>0</v>
      </c>
      <c r="P19" s="35">
        <f>IF(Dashboard!$C$17=N19, O19, 0)</f>
        <v>0</v>
      </c>
      <c r="Q19" s="35">
        <f>IF(Dashboard!$C$21=$A$8, P19, 0)</f>
        <v>0</v>
      </c>
      <c r="R19" s="35"/>
      <c r="S19" s="158">
        <f>IF($B$4=TRUE, 'Output Sys. Avg. Rates'!$O$121, 0)</f>
        <v>0</v>
      </c>
      <c r="U19" s="157"/>
      <c r="V19" s="34"/>
      <c r="W19" s="34"/>
      <c r="X19" s="34"/>
      <c r="Y19" s="135"/>
      <c r="AA19" s="47"/>
      <c r="AB19" s="34"/>
      <c r="AC19" s="34"/>
      <c r="AD19" s="34"/>
      <c r="AE19" s="135"/>
    </row>
    <row r="20" spans="1:31">
      <c r="A20" s="233" t="s">
        <v>6</v>
      </c>
      <c r="E20" s="47"/>
      <c r="F20" s="35" t="s">
        <v>48</v>
      </c>
      <c r="G20" s="160">
        <f>IF(Dashboard!$C$12 = A4, 'Output Sys. Avg. Rates'!$N$156, 0)</f>
        <v>1.6307</v>
      </c>
      <c r="H20" s="34">
        <f>IF(Dashboard!$C$17=F20, G20, 0)</f>
        <v>0</v>
      </c>
      <c r="I20" s="34">
        <f>IF(Dashboard!$C$21=$A$8, H20, 0)</f>
        <v>0</v>
      </c>
      <c r="J20" s="35"/>
      <c r="K20" s="158">
        <f>IF($B$4=TRUE, 'Output Sys. Avg. Rates'!$O$156, 0)</f>
        <v>0</v>
      </c>
      <c r="L20" s="42"/>
      <c r="M20" s="157"/>
      <c r="N20" s="35" t="s">
        <v>48</v>
      </c>
      <c r="O20" s="34">
        <f>IF(Dashboard!$C$12 = A5, 'Non-Baseload Output Rates'!$J$156, 0)</f>
        <v>0</v>
      </c>
      <c r="P20" s="35">
        <f>IF(Dashboard!$C$17=N20, O20, 0)</f>
        <v>0</v>
      </c>
      <c r="Q20" s="35">
        <f>IF(Dashboard!$C$21=$A$8, P20, 0)</f>
        <v>0</v>
      </c>
      <c r="R20" s="35"/>
      <c r="S20" s="158">
        <f>IF($B$4=TRUE, 'Output Sys. Avg. Rates'!$O$156, 0)</f>
        <v>0</v>
      </c>
      <c r="U20" s="157"/>
      <c r="V20" s="34"/>
      <c r="W20" s="34"/>
      <c r="X20" s="34"/>
      <c r="Y20" s="135"/>
      <c r="AA20" s="47"/>
      <c r="AB20" s="34"/>
      <c r="AC20" s="34"/>
      <c r="AD20" s="34"/>
      <c r="AE20" s="135"/>
    </row>
    <row r="21" spans="1:31">
      <c r="E21" s="47"/>
      <c r="F21" s="35" t="s">
        <v>52</v>
      </c>
      <c r="G21" s="160">
        <f>IF(Dashboard!$C$12 = A4, 'Output Sys. Avg. Rates'!$N$184, 0)</f>
        <v>1.6052999999999997</v>
      </c>
      <c r="H21" s="34">
        <f>IF(Dashboard!$C$17=F21, G21, 0)</f>
        <v>0</v>
      </c>
      <c r="I21" s="34">
        <f>IF(Dashboard!$C$21=$A$8, H21, 0)</f>
        <v>0</v>
      </c>
      <c r="J21" s="35"/>
      <c r="K21" s="158">
        <f>IF($B$4=TRUE, 'Output Sys. Avg. Rates'!$O$184, 0)</f>
        <v>0</v>
      </c>
      <c r="L21" s="42"/>
      <c r="M21" s="157"/>
      <c r="N21" s="35" t="s">
        <v>52</v>
      </c>
      <c r="O21" s="34">
        <f>IF(Dashboard!$C$12 = A5, 'Non-Baseload Output Rates'!$J$184, 0)</f>
        <v>0</v>
      </c>
      <c r="P21" s="35">
        <f>IF(Dashboard!$C$17=N21, O21, 0)</f>
        <v>0</v>
      </c>
      <c r="Q21" s="35">
        <f>IF(Dashboard!$C$21=$A$8, P21, 0)</f>
        <v>0</v>
      </c>
      <c r="R21" s="35"/>
      <c r="S21" s="158">
        <f>IF($B$4=TRUE, 'Output Sys. Avg. Rates'!$O$184, 0)</f>
        <v>0</v>
      </c>
      <c r="U21" s="157"/>
      <c r="V21" s="34"/>
      <c r="W21" s="34"/>
      <c r="X21" s="34"/>
      <c r="Y21" s="135"/>
      <c r="AA21" s="47"/>
      <c r="AB21" s="34"/>
      <c r="AC21" s="34"/>
      <c r="AD21" s="34"/>
      <c r="AE21" s="135"/>
    </row>
    <row r="22" spans="1:31">
      <c r="A22" s="35" t="s">
        <v>46</v>
      </c>
      <c r="E22" s="47"/>
      <c r="F22" s="34"/>
      <c r="G22" s="40" t="s">
        <v>23</v>
      </c>
      <c r="H22" s="35">
        <f>SUM(H15:H21)</f>
        <v>3.6537999999999999</v>
      </c>
      <c r="I22" s="34">
        <f>SUM(I15:I21)</f>
        <v>0</v>
      </c>
      <c r="J22" s="35">
        <f>IF(Dashboard!$G$21=A12, I22, I11)</f>
        <v>0</v>
      </c>
      <c r="K22" s="158">
        <f>J22*Dashboard!$C$4</f>
        <v>0</v>
      </c>
      <c r="L22" s="137"/>
      <c r="M22" s="157"/>
      <c r="N22" s="34"/>
      <c r="O22" s="40" t="s">
        <v>23</v>
      </c>
      <c r="P22" s="35">
        <f>SUM(P15:P21)</f>
        <v>0</v>
      </c>
      <c r="Q22" s="35">
        <f>SUM(Q15:Q21)</f>
        <v>0</v>
      </c>
      <c r="R22" s="35">
        <f>IF(Dashboard!$G$21=$A$12, Q22, Q11)</f>
        <v>0</v>
      </c>
      <c r="S22" s="158">
        <f>R22*Dashboard!$C$4</f>
        <v>0</v>
      </c>
      <c r="U22" s="157"/>
      <c r="V22" s="34"/>
      <c r="W22" s="34"/>
      <c r="X22" s="34"/>
      <c r="Y22" s="135"/>
      <c r="AA22" s="47"/>
      <c r="AB22" s="34"/>
      <c r="AC22" s="34"/>
      <c r="AD22" s="34"/>
      <c r="AE22" s="135"/>
    </row>
    <row r="23" spans="1:31" ht="25.5">
      <c r="A23" s="35" t="s">
        <v>47</v>
      </c>
      <c r="E23" s="157" t="s">
        <v>65</v>
      </c>
      <c r="F23" s="34"/>
      <c r="G23" s="160"/>
      <c r="H23" s="34"/>
      <c r="I23" s="34"/>
      <c r="J23" s="35"/>
      <c r="K23" s="158"/>
      <c r="L23" s="42"/>
      <c r="M23" s="157" t="s">
        <v>65</v>
      </c>
      <c r="N23" s="34"/>
      <c r="O23" s="34"/>
      <c r="P23" s="35"/>
      <c r="Q23" s="35"/>
      <c r="R23" s="35"/>
      <c r="S23" s="158"/>
      <c r="U23" s="157" t="s">
        <v>65</v>
      </c>
      <c r="V23" s="34">
        <f>IF(Dashboard!$C$12=A3, 'Rate Lookup'!L69, 0)</f>
        <v>0</v>
      </c>
      <c r="W23" s="34">
        <f>IF(Dashboard!$C$21=$A$9, V23, 0)</f>
        <v>0</v>
      </c>
      <c r="X23" s="34">
        <f>W23</f>
        <v>0</v>
      </c>
      <c r="Y23" s="135">
        <f>W23*Dashboard!$C$4</f>
        <v>0</v>
      </c>
      <c r="AA23" s="48" t="s">
        <v>65</v>
      </c>
      <c r="AB23" s="34">
        <f>'Rate Lookup'!$L$76</f>
        <v>0</v>
      </c>
      <c r="AC23" s="34">
        <f>IF(Dashboard!$C$21=$A$9, AB23, 0)</f>
        <v>0</v>
      </c>
      <c r="AD23" s="34">
        <f>AC23</f>
        <v>0</v>
      </c>
      <c r="AE23" s="135">
        <f>AD23*Dashboard!$C$4</f>
        <v>0</v>
      </c>
    </row>
    <row r="24" spans="1:31">
      <c r="A24" s="35" t="s">
        <v>68</v>
      </c>
      <c r="E24" s="47"/>
      <c r="F24" s="35" t="s">
        <v>46</v>
      </c>
      <c r="G24" s="160">
        <f>IF(Dashboard!$C$12 = A4, 'Output Sys. Avg. Rates'!$N$22, 0)</f>
        <v>2432.3000000000002</v>
      </c>
      <c r="H24" s="34">
        <f>IF(Dashboard!$C$17=F24, G24, 0)</f>
        <v>2432.3000000000002</v>
      </c>
      <c r="I24" s="34">
        <f>IF(Dashboard!$C$21=$A$9, H24, 0)</f>
        <v>0</v>
      </c>
      <c r="J24" s="35"/>
      <c r="K24" s="158"/>
      <c r="L24" s="42"/>
      <c r="M24" s="157"/>
      <c r="N24" s="35" t="s">
        <v>46</v>
      </c>
      <c r="O24" s="34">
        <f>IF(Dashboard!$C$12 = A5, 'Non-Baseload Output Rates'!$J$22, 0)</f>
        <v>0</v>
      </c>
      <c r="P24" s="35">
        <f>IF(Dashboard!$C$17=N24, O24, 0)</f>
        <v>0</v>
      </c>
      <c r="Q24" s="35">
        <f>IF(Dashboard!$C$21=$A$9, P24, 0)</f>
        <v>0</v>
      </c>
      <c r="R24" s="35"/>
      <c r="S24" s="158">
        <f>IF($B$4=TRUE, 'Output Sys. Avg. Rates'!$O$22, 0)</f>
        <v>0</v>
      </c>
      <c r="U24" s="157"/>
      <c r="V24" s="34"/>
      <c r="W24" s="34"/>
      <c r="X24" s="34"/>
      <c r="Y24" s="135"/>
      <c r="AA24" s="47"/>
      <c r="AB24" s="34"/>
      <c r="AC24" s="34"/>
      <c r="AD24" s="34"/>
      <c r="AE24" s="135"/>
    </row>
    <row r="25" spans="1:31">
      <c r="A25" s="35" t="s">
        <v>62</v>
      </c>
      <c r="E25" s="47"/>
      <c r="F25" s="35" t="s">
        <v>47</v>
      </c>
      <c r="G25" s="160">
        <f>IF(Dashboard!$C$12 = A4, 'Output Sys. Avg. Rates'!$N$51, 0)</f>
        <v>1352.27</v>
      </c>
      <c r="H25" s="34">
        <f>IF(Dashboard!$C$17=F25, G25, 0)</f>
        <v>0</v>
      </c>
      <c r="I25" s="34">
        <f>IF(Dashboard!$C$21=$A$9, H25, 0)</f>
        <v>0</v>
      </c>
      <c r="J25" s="35"/>
      <c r="K25" s="158"/>
      <c r="L25" s="42"/>
      <c r="M25" s="157"/>
      <c r="N25" s="35" t="s">
        <v>47</v>
      </c>
      <c r="O25" s="34">
        <f>IF(Dashboard!$C$12 = A5, 'Non-Baseload Output Rates'!$J$51, 0)</f>
        <v>0</v>
      </c>
      <c r="P25" s="35">
        <f>IF(Dashboard!$C$17=N25, O25, 0)</f>
        <v>0</v>
      </c>
      <c r="Q25" s="35">
        <f>IF(Dashboard!$C$21=$A$9, P25, 0)</f>
        <v>0</v>
      </c>
      <c r="R25" s="35"/>
      <c r="S25" s="158">
        <f>IF($B$4=TRUE, 'Output Sys. Avg. Rates'!$O$51, 0)</f>
        <v>0</v>
      </c>
      <c r="U25" s="157"/>
      <c r="V25" s="34"/>
      <c r="W25" s="34"/>
      <c r="X25" s="34"/>
      <c r="Y25" s="135"/>
      <c r="AA25" s="47"/>
      <c r="AB25" s="34"/>
      <c r="AC25" s="34"/>
      <c r="AD25" s="34"/>
      <c r="AE25" s="135"/>
    </row>
    <row r="26" spans="1:31">
      <c r="A26" s="35" t="s">
        <v>53</v>
      </c>
      <c r="E26" s="47"/>
      <c r="F26" s="35" t="s">
        <v>68</v>
      </c>
      <c r="G26" s="160">
        <f>IF(Dashboard!$C$12 = A4, 'Output Sys. Avg. Rates'!$N$79, 0)</f>
        <v>1196.0499999999997</v>
      </c>
      <c r="H26" s="34">
        <f>IF(Dashboard!$C$17=F26, G26, 0)</f>
        <v>0</v>
      </c>
      <c r="I26" s="34">
        <f>IF(Dashboard!$C$21=$A$9, H26, 0)</f>
        <v>0</v>
      </c>
      <c r="J26" s="35"/>
      <c r="K26" s="158"/>
      <c r="L26" s="42"/>
      <c r="M26" s="157"/>
      <c r="N26" s="35" t="s">
        <v>68</v>
      </c>
      <c r="O26" s="34">
        <f>IF(Dashboard!$C$12 = A5, 'Non-Baseload Output Rates'!$J$79, 0)</f>
        <v>0</v>
      </c>
      <c r="P26" s="35">
        <f>IF(Dashboard!$C$17=N26, O26, 0)</f>
        <v>0</v>
      </c>
      <c r="Q26" s="35">
        <f>IF(Dashboard!$C$21=$A$9, P26, 0)</f>
        <v>0</v>
      </c>
      <c r="R26" s="35"/>
      <c r="S26" s="158">
        <f>IF($B$4=TRUE, 'Output Sys. Avg. Rates'!$O$79, 0)</f>
        <v>0</v>
      </c>
      <c r="U26" s="157"/>
      <c r="V26" s="34"/>
      <c r="W26" s="34"/>
      <c r="X26" s="34"/>
      <c r="Y26" s="135"/>
      <c r="AA26" s="47"/>
      <c r="AB26" s="34"/>
      <c r="AC26" s="34"/>
      <c r="AD26" s="34"/>
      <c r="AE26" s="135"/>
    </row>
    <row r="27" spans="1:31">
      <c r="A27" s="35" t="s">
        <v>48</v>
      </c>
      <c r="E27" s="47"/>
      <c r="F27" s="35" t="s">
        <v>62</v>
      </c>
      <c r="G27" s="160">
        <f>IF(Dashboard!$C$12 = A4, 'Output Sys. Avg. Rates'!$N$107, 0)</f>
        <v>1427.2099999999998</v>
      </c>
      <c r="H27" s="34">
        <f>IF(Dashboard!$C$17=F27, G27, 0)</f>
        <v>0</v>
      </c>
      <c r="I27" s="34">
        <f>IF(Dashboard!$C$21=$A$9, H27, 0)</f>
        <v>0</v>
      </c>
      <c r="J27" s="35"/>
      <c r="K27" s="158"/>
      <c r="L27" s="42"/>
      <c r="M27" s="157"/>
      <c r="N27" s="35" t="s">
        <v>62</v>
      </c>
      <c r="O27" s="34">
        <f>IF(Dashboard!$C$12 = A5, 'Non-Baseload Output Rates'!$J$107, 0)</f>
        <v>0</v>
      </c>
      <c r="P27" s="35">
        <f>IF(Dashboard!$C$17=N27, O27, 0)</f>
        <v>0</v>
      </c>
      <c r="Q27" s="35">
        <f>IF(Dashboard!$C$21=$A$9, P27, 0)</f>
        <v>0</v>
      </c>
      <c r="R27" s="35"/>
      <c r="S27" s="158">
        <f>IF($B$4=TRUE, 'Output Sys. Avg. Rates'!$O$107, 0)</f>
        <v>0</v>
      </c>
      <c r="U27" s="157"/>
      <c r="V27" s="34"/>
      <c r="W27" s="34"/>
      <c r="X27" s="34"/>
      <c r="Y27" s="135"/>
      <c r="AA27" s="47"/>
      <c r="AB27" s="34"/>
      <c r="AC27" s="34"/>
      <c r="AD27" s="34"/>
      <c r="AE27" s="135"/>
    </row>
    <row r="28" spans="1:31">
      <c r="A28" s="35" t="s">
        <v>52</v>
      </c>
      <c r="E28" s="47"/>
      <c r="F28" s="35" t="s">
        <v>53</v>
      </c>
      <c r="G28" s="160">
        <f>IF(Dashboard!$C$12 = A4, 'Output Sys. Avg. Rates'!$N$135, 0)</f>
        <v>1368.8500000000001</v>
      </c>
      <c r="H28" s="34">
        <f>IF(Dashboard!$C$17=F28, G28, 0)</f>
        <v>0</v>
      </c>
      <c r="I28" s="34">
        <f>IF(Dashboard!$C$21=$A$9, H28, 0)</f>
        <v>0</v>
      </c>
      <c r="J28" s="35"/>
      <c r="K28" s="158"/>
      <c r="L28" s="42"/>
      <c r="M28" s="157"/>
      <c r="N28" s="35" t="s">
        <v>53</v>
      </c>
      <c r="O28" s="34">
        <f>IF(Dashboard!$C$12 = A5, 'Non-Baseload Output Rates'!$J$135, 0)</f>
        <v>0</v>
      </c>
      <c r="P28" s="35">
        <f>IF(Dashboard!$C$17=N28, O28, 0)</f>
        <v>0</v>
      </c>
      <c r="Q28" s="35">
        <f>IF(Dashboard!$C$21=$A$9, P28, 0)</f>
        <v>0</v>
      </c>
      <c r="R28" s="35"/>
      <c r="S28" s="158">
        <f>IF($B$4=TRUE, 'Output Sys. Avg. Rates'!$O$135, 0)</f>
        <v>0</v>
      </c>
      <c r="U28" s="157"/>
      <c r="V28" s="34"/>
      <c r="W28" s="34"/>
      <c r="X28" s="34"/>
      <c r="Y28" s="135"/>
      <c r="AA28" s="47"/>
      <c r="AB28" s="34"/>
      <c r="AC28" s="34"/>
      <c r="AD28" s="34"/>
      <c r="AE28" s="135"/>
    </row>
    <row r="29" spans="1:31">
      <c r="E29" s="47"/>
      <c r="F29" s="35" t="s">
        <v>48</v>
      </c>
      <c r="G29" s="160">
        <f>IF(Dashboard!$C$12 = A4, 'Output Sys. Avg. Rates'!$N$163, 0)</f>
        <v>1139.0699999999997</v>
      </c>
      <c r="H29" s="34">
        <f>IF(Dashboard!$C$17=F29, G29, 0)</f>
        <v>0</v>
      </c>
      <c r="I29" s="34">
        <f>IF(Dashboard!$C$21=$A$9, H29, 0)</f>
        <v>0</v>
      </c>
      <c r="J29" s="35"/>
      <c r="K29" s="158"/>
      <c r="L29" s="42"/>
      <c r="M29" s="157"/>
      <c r="N29" s="35" t="s">
        <v>48</v>
      </c>
      <c r="O29" s="34">
        <f>IF(Dashboard!$C$12 = A5, 'Non-Baseload Output Rates'!$J$163, 0)</f>
        <v>0</v>
      </c>
      <c r="P29" s="35">
        <f>IF(Dashboard!$C$17=N29, O29, 0)</f>
        <v>0</v>
      </c>
      <c r="Q29" s="35">
        <f>IF(Dashboard!$C$21=$A$9, P29, 0)</f>
        <v>0</v>
      </c>
      <c r="R29" s="35"/>
      <c r="S29" s="158">
        <f>IF($B$4=TRUE, 'Output Sys. Avg. Rates'!$O$163, 0)</f>
        <v>0</v>
      </c>
      <c r="U29" s="157"/>
      <c r="V29" s="34"/>
      <c r="W29" s="34"/>
      <c r="X29" s="34"/>
      <c r="Y29" s="135"/>
      <c r="AA29" s="47"/>
      <c r="AB29" s="34"/>
      <c r="AC29" s="34"/>
      <c r="AD29" s="34"/>
      <c r="AE29" s="135"/>
    </row>
    <row r="30" spans="1:31">
      <c r="E30" s="47"/>
      <c r="F30" s="35" t="s">
        <v>52</v>
      </c>
      <c r="G30" s="160">
        <f>IF(Dashboard!$C$12 = A4, 'Output Sys. Avg. Rates'!$N$191, 0)</f>
        <v>1134.8800000000001</v>
      </c>
      <c r="H30" s="34">
        <f>IF(Dashboard!$C$17=F30, G30, 0)</f>
        <v>0</v>
      </c>
      <c r="I30" s="34">
        <f>IF(Dashboard!$C$21=$A$9, H30, 0)</f>
        <v>0</v>
      </c>
      <c r="J30" s="35"/>
      <c r="K30" s="158"/>
      <c r="L30" s="42"/>
      <c r="M30" s="157"/>
      <c r="N30" s="35" t="s">
        <v>52</v>
      </c>
      <c r="O30" s="34">
        <f>IF(Dashboard!$C$12 = A5, 'Non-Baseload Output Rates'!$J$191, 0)</f>
        <v>0</v>
      </c>
      <c r="P30" s="35">
        <f>IF(Dashboard!$C$17=N30, O30, 0)</f>
        <v>0</v>
      </c>
      <c r="Q30" s="35">
        <f>IF(Dashboard!$C$21=$A$9, P30, 0)</f>
        <v>0</v>
      </c>
      <c r="R30" s="35"/>
      <c r="S30" s="158">
        <f>IF($B$4=TRUE, 'Output Sys. Avg. Rates'!$O$191, 0)</f>
        <v>0</v>
      </c>
      <c r="U30" s="157"/>
      <c r="V30" s="34"/>
      <c r="W30" s="34"/>
      <c r="X30" s="34"/>
      <c r="Y30" s="135"/>
      <c r="AA30" s="47"/>
      <c r="AB30" s="34"/>
      <c r="AC30" s="34"/>
      <c r="AD30" s="34"/>
      <c r="AE30" s="135"/>
    </row>
    <row r="31" spans="1:31">
      <c r="E31" s="47"/>
      <c r="F31" s="34"/>
      <c r="G31" s="40" t="s">
        <v>23</v>
      </c>
      <c r="H31" s="35">
        <f>SUM(H24:H30)</f>
        <v>2432.3000000000002</v>
      </c>
      <c r="I31" s="34">
        <f>SUM(I24:I30)</f>
        <v>0</v>
      </c>
      <c r="J31" s="35">
        <f>I31</f>
        <v>0</v>
      </c>
      <c r="K31" s="158">
        <f>J31*Dashboard!$C$4</f>
        <v>0</v>
      </c>
      <c r="L31" s="137"/>
      <c r="M31" s="157"/>
      <c r="N31" s="34"/>
      <c r="O31" s="40" t="s">
        <v>23</v>
      </c>
      <c r="P31" s="35">
        <f>SUM(P24:P30)</f>
        <v>0</v>
      </c>
      <c r="Q31" s="35">
        <f>SUM(Q24:Q30)</f>
        <v>0</v>
      </c>
      <c r="R31" s="35">
        <f>Q31</f>
        <v>0</v>
      </c>
      <c r="S31" s="158">
        <f>R31*Dashboard!$C$4</f>
        <v>0</v>
      </c>
      <c r="U31" s="157"/>
      <c r="V31" s="34"/>
      <c r="W31" s="34"/>
      <c r="X31" s="34"/>
      <c r="Y31" s="135"/>
      <c r="AA31" s="47"/>
      <c r="AB31" s="34"/>
      <c r="AC31" s="34"/>
      <c r="AD31" s="34"/>
      <c r="AE31" s="135"/>
    </row>
    <row r="32" spans="1:31" ht="25.5">
      <c r="E32" s="157" t="s">
        <v>66</v>
      </c>
      <c r="F32" s="34"/>
      <c r="G32" s="160"/>
      <c r="H32" s="34"/>
      <c r="I32" s="34"/>
      <c r="J32" s="35"/>
      <c r="K32" s="158"/>
      <c r="L32" s="42"/>
      <c r="M32" s="157" t="s">
        <v>66</v>
      </c>
      <c r="N32" s="34"/>
      <c r="O32" s="34"/>
      <c r="P32" s="35"/>
      <c r="Q32" s="35"/>
      <c r="R32" s="35"/>
      <c r="S32" s="158"/>
      <c r="U32" s="157" t="s">
        <v>66</v>
      </c>
      <c r="V32" s="34">
        <f>IF(Dashboard!$C$12=A3, 'Rate Lookup'!L99, 0)</f>
        <v>0</v>
      </c>
      <c r="W32" s="34">
        <f>IF(Dashboard!$C$21=$A$10, V32, 0)</f>
        <v>0</v>
      </c>
      <c r="X32" s="34">
        <f>W32</f>
        <v>0</v>
      </c>
      <c r="Y32" s="135">
        <f>W32*Dashboard!$C$4</f>
        <v>0</v>
      </c>
      <c r="AA32" s="48" t="s">
        <v>66</v>
      </c>
      <c r="AB32" s="34">
        <f>'Rate Lookup'!$L$106</f>
        <v>0</v>
      </c>
      <c r="AC32" s="34">
        <f>IF(Dashboard!$C$21=$A$10, AB32, 0)</f>
        <v>0</v>
      </c>
      <c r="AD32" s="34">
        <f>AC32</f>
        <v>0</v>
      </c>
      <c r="AE32" s="135">
        <f>AD32*Dashboard!$C$4</f>
        <v>0</v>
      </c>
    </row>
    <row r="33" spans="5:31">
      <c r="E33" s="47"/>
      <c r="F33" s="35" t="s">
        <v>46</v>
      </c>
      <c r="G33" s="160">
        <f>IF(Dashboard!$C$12 = A4, 'Output Sys. Avg. Rates'!$N$29, 0)</f>
        <v>8.09</v>
      </c>
      <c r="H33" s="34">
        <f>IF(Dashboard!$C$17=F33, G33, 0)</f>
        <v>8.09</v>
      </c>
      <c r="I33" s="34">
        <f>IF(Dashboard!$C$21=$A$10, H33, 0)</f>
        <v>8.09</v>
      </c>
      <c r="J33" s="35"/>
      <c r="K33" s="158"/>
      <c r="L33" s="42"/>
      <c r="M33" s="47"/>
      <c r="N33" s="35" t="s">
        <v>46</v>
      </c>
      <c r="O33" s="34">
        <f>IF(Dashboard!$C$12 = A5, 'Output Sys. Avg. Rates'!$N$29, 0)</f>
        <v>0</v>
      </c>
      <c r="P33" s="35">
        <f>IF(Dashboard!$C$17=N33, O33, 0)</f>
        <v>0</v>
      </c>
      <c r="Q33" s="35">
        <f>IF(Dashboard!$C$21=$A$10, P33, 0)</f>
        <v>0</v>
      </c>
      <c r="R33" s="35"/>
      <c r="S33" s="158">
        <f>IF($B$4=TRUE, 'Output Sys. Avg. Rates'!$O$29, 0)</f>
        <v>0</v>
      </c>
      <c r="U33" s="47"/>
      <c r="V33" s="34"/>
      <c r="W33" s="34"/>
      <c r="X33" s="34"/>
      <c r="Y33" s="135"/>
      <c r="AA33" s="47"/>
      <c r="AB33" s="34"/>
      <c r="AC33" s="34"/>
      <c r="AD33" s="34"/>
      <c r="AE33" s="135"/>
    </row>
    <row r="34" spans="5:31">
      <c r="E34" s="47"/>
      <c r="F34" s="35" t="s">
        <v>47</v>
      </c>
      <c r="G34" s="160">
        <f>IF(Dashboard!$C$12 = A4, 'Output Sys. Avg. Rates'!$N$58, 0)</f>
        <v>10.9375</v>
      </c>
      <c r="H34" s="34">
        <f>IF(Dashboard!$C$17=F34, G34, 0)</f>
        <v>0</v>
      </c>
      <c r="I34" s="34">
        <f>IF(Dashboard!$C$21=$A$10, H34, 0)</f>
        <v>0</v>
      </c>
      <c r="J34" s="35"/>
      <c r="K34" s="158"/>
      <c r="L34" s="42"/>
      <c r="M34" s="47"/>
      <c r="N34" s="35" t="s">
        <v>47</v>
      </c>
      <c r="O34" s="34">
        <f>IF(Dashboard!$C$12 = A5, 'Output Sys. Avg. Rates'!$N$58, 0)</f>
        <v>0</v>
      </c>
      <c r="P34" s="35">
        <f>IF(Dashboard!$C$17=N34, O34, 0)</f>
        <v>0</v>
      </c>
      <c r="Q34" s="35">
        <f>IF(Dashboard!$C$21=$A$10, P34, 0)</f>
        <v>0</v>
      </c>
      <c r="R34" s="35"/>
      <c r="S34" s="158">
        <f>IF($B$4=TRUE, 'Output Sys. Avg. Rates'!$O$58, 0)</f>
        <v>0</v>
      </c>
      <c r="U34" s="47"/>
      <c r="V34" s="34"/>
      <c r="W34" s="34"/>
      <c r="X34" s="34"/>
      <c r="Y34" s="135"/>
      <c r="AA34" s="47"/>
      <c r="AB34" s="34"/>
      <c r="AC34" s="34"/>
      <c r="AD34" s="34"/>
      <c r="AE34" s="135"/>
    </row>
    <row r="35" spans="5:31">
      <c r="E35" s="47"/>
      <c r="F35" s="35" t="s">
        <v>68</v>
      </c>
      <c r="G35" s="160">
        <f>IF(Dashboard!$C$12 = A4, 'Output Sys. Avg. Rates'!$N$86, 0)</f>
        <v>5.7634999999999996</v>
      </c>
      <c r="H35" s="34">
        <f>IF(Dashboard!$C$17=F35, G35, 0)</f>
        <v>0</v>
      </c>
      <c r="I35" s="34">
        <f>IF(Dashboard!$C$21=$A$10, H35, 0)</f>
        <v>0</v>
      </c>
      <c r="J35" s="35"/>
      <c r="K35" s="158"/>
      <c r="L35" s="42"/>
      <c r="M35" s="47"/>
      <c r="N35" s="35" t="s">
        <v>68</v>
      </c>
      <c r="O35" s="34">
        <f>IF(Dashboard!$C$12 = A5, 'Output Sys. Avg. Rates'!$N$86, 0)</f>
        <v>0</v>
      </c>
      <c r="P35" s="35">
        <f>IF(Dashboard!$C$17=N35, O35, 0)</f>
        <v>0</v>
      </c>
      <c r="Q35" s="35">
        <f>IF(Dashboard!$C$21=$A$10, P35, 0)</f>
        <v>0</v>
      </c>
      <c r="R35" s="35"/>
      <c r="S35" s="158">
        <f>IF($B$4=TRUE, 'Output Sys. Avg. Rates'!$O$86, 0)</f>
        <v>0</v>
      </c>
      <c r="U35" s="47"/>
      <c r="V35" s="34"/>
      <c r="W35" s="34"/>
      <c r="X35" s="34"/>
      <c r="Y35" s="135"/>
      <c r="AA35" s="47"/>
      <c r="AB35" s="34"/>
      <c r="AC35" s="34"/>
      <c r="AD35" s="34"/>
      <c r="AE35" s="135"/>
    </row>
    <row r="36" spans="5:31">
      <c r="E36" s="47"/>
      <c r="F36" s="35" t="s">
        <v>62</v>
      </c>
      <c r="G36" s="160">
        <f>IF(Dashboard!$C$12 = A4, 'Output Sys. Avg. Rates'!$N$114, 0)</f>
        <v>8.9846000000000004</v>
      </c>
      <c r="H36" s="34">
        <f>IF(Dashboard!$C$17=F36, G36, 0)</f>
        <v>0</v>
      </c>
      <c r="I36" s="34">
        <f>IF(Dashboard!$C$21=$A$10, H36, 0)</f>
        <v>0</v>
      </c>
      <c r="J36" s="35"/>
      <c r="K36" s="158"/>
      <c r="L36" s="42"/>
      <c r="M36" s="47"/>
      <c r="N36" s="35" t="s">
        <v>62</v>
      </c>
      <c r="O36" s="34">
        <f>IF(Dashboard!$C$12 = A5, 'Output Sys. Avg. Rates'!$N$114, 0)</f>
        <v>0</v>
      </c>
      <c r="P36" s="35">
        <f>IF(Dashboard!$C$17=N36, O36, 0)</f>
        <v>0</v>
      </c>
      <c r="Q36" s="35">
        <f>IF(Dashboard!$C$21=$A$10, P36, 0)</f>
        <v>0</v>
      </c>
      <c r="R36" s="35"/>
      <c r="S36" s="158">
        <f>IF($B$4=TRUE, 'Output Sys. Avg. Rates'!$O$114, 0)</f>
        <v>0</v>
      </c>
      <c r="U36" s="47"/>
      <c r="V36" s="34"/>
      <c r="W36" s="34"/>
      <c r="X36" s="34"/>
      <c r="Y36" s="135"/>
      <c r="AA36" s="47"/>
      <c r="AB36" s="34"/>
      <c r="AC36" s="34"/>
      <c r="AD36" s="34"/>
      <c r="AE36" s="135"/>
    </row>
    <row r="37" spans="5:31">
      <c r="E37" s="47"/>
      <c r="F37" s="35" t="s">
        <v>53</v>
      </c>
      <c r="G37" s="160">
        <f>IF(Dashboard!$C$12 = A4, 'Output Sys. Avg. Rates'!$N$142, 0)</f>
        <v>6.2442999999999991</v>
      </c>
      <c r="H37" s="34">
        <f>IF(Dashboard!$C$17=F37, G37, 0)</f>
        <v>0</v>
      </c>
      <c r="I37" s="34">
        <f>IF(Dashboard!$C$21=$A$10, H37, 0)</f>
        <v>0</v>
      </c>
      <c r="J37" s="35"/>
      <c r="K37" s="158"/>
      <c r="L37" s="42"/>
      <c r="M37" s="47"/>
      <c r="N37" s="35" t="s">
        <v>53</v>
      </c>
      <c r="O37" s="34">
        <f>IF(Dashboard!$C$12 = A5, 'Output Sys. Avg. Rates'!$N$142, 0)</f>
        <v>0</v>
      </c>
      <c r="P37" s="35">
        <f>IF(Dashboard!$C$17=N37, O37, 0)</f>
        <v>0</v>
      </c>
      <c r="Q37" s="35">
        <f>IF(Dashboard!$C$21=$A$10, P37, 0)</f>
        <v>0</v>
      </c>
      <c r="R37" s="35"/>
      <c r="S37" s="158">
        <f>IF($B$4=TRUE, 'Output Sys. Avg. Rates'!$O$142, 0)</f>
        <v>0</v>
      </c>
      <c r="U37" s="47"/>
      <c r="V37" s="34"/>
      <c r="W37" s="34"/>
      <c r="X37" s="34"/>
      <c r="Y37" s="135"/>
      <c r="AA37" s="47"/>
      <c r="AB37" s="34"/>
      <c r="AC37" s="34"/>
      <c r="AD37" s="34"/>
      <c r="AE37" s="135"/>
    </row>
    <row r="38" spans="5:31">
      <c r="E38" s="47"/>
      <c r="F38" s="35" t="s">
        <v>48</v>
      </c>
      <c r="G38" s="160">
        <f>IF(Dashboard!$C$12 = A4, 'Output Sys. Avg. Rates'!$N$170, 0)</f>
        <v>7.7918000000000003</v>
      </c>
      <c r="H38" s="34">
        <f>IF(Dashboard!$C$17=F38, G38, 0)</f>
        <v>0</v>
      </c>
      <c r="I38" s="34">
        <f>IF(Dashboard!$C$21=$A$10, H38, 0)</f>
        <v>0</v>
      </c>
      <c r="J38" s="35"/>
      <c r="K38" s="158"/>
      <c r="L38" s="42"/>
      <c r="M38" s="47"/>
      <c r="N38" s="35" t="s">
        <v>48</v>
      </c>
      <c r="O38" s="34">
        <f>IF(Dashboard!$C$12 = A5, 'Output Sys. Avg. Rates'!$N$170, 0)</f>
        <v>0</v>
      </c>
      <c r="P38" s="35">
        <f>IF(Dashboard!$C$17=N38, O38, 0)</f>
        <v>0</v>
      </c>
      <c r="Q38" s="35">
        <f>IF(Dashboard!$C$21=$A$10, P38, 0)</f>
        <v>0</v>
      </c>
      <c r="R38" s="35"/>
      <c r="S38" s="158">
        <f>IF($B$4=TRUE, 'Output Sys. Avg. Rates'!$O$170, 0)</f>
        <v>0</v>
      </c>
      <c r="U38" s="47"/>
      <c r="V38" s="34"/>
      <c r="W38" s="34"/>
      <c r="X38" s="34"/>
      <c r="Y38" s="135"/>
      <c r="AA38" s="47"/>
      <c r="AB38" s="34"/>
      <c r="AC38" s="34"/>
      <c r="AD38" s="34"/>
      <c r="AE38" s="135"/>
    </row>
    <row r="39" spans="5:31">
      <c r="E39" s="42"/>
      <c r="F39" s="35" t="s">
        <v>52</v>
      </c>
      <c r="G39" s="160">
        <f>IF(Dashboard!$C$12 = A4, 'Output Sys. Avg. Rates'!$N$198, 0)</f>
        <v>5.8857999999999988</v>
      </c>
      <c r="H39" s="34">
        <f>IF(Dashboard!$C$17=F39, G39, 0)</f>
        <v>0</v>
      </c>
      <c r="I39" s="34">
        <f>IF(Dashboard!$C$21=$A$10, H39, 0)</f>
        <v>0</v>
      </c>
      <c r="J39" s="35"/>
      <c r="K39" s="158"/>
      <c r="L39" s="42"/>
      <c r="M39" s="42"/>
      <c r="N39" s="35" t="s">
        <v>52</v>
      </c>
      <c r="O39" s="34">
        <f>IF(Dashboard!$C$12 = A5, 'Output Sys. Avg. Rates'!$N$198, 0)</f>
        <v>0</v>
      </c>
      <c r="P39" s="35">
        <f>IF(Dashboard!$C$17=N39, O39, 0)</f>
        <v>0</v>
      </c>
      <c r="Q39" s="35">
        <f>IF(Dashboard!$C$21=$A$10, P39, 0)</f>
        <v>0</v>
      </c>
      <c r="R39" s="35"/>
      <c r="S39" s="158">
        <f>IF($B$4=TRUE, 'Output Sys. Avg. Rates'!$O$198, 0)</f>
        <v>0</v>
      </c>
      <c r="U39" s="42"/>
      <c r="V39" s="34"/>
      <c r="W39" s="34"/>
      <c r="X39" s="34"/>
      <c r="Y39" s="135"/>
      <c r="AA39" s="42"/>
      <c r="AB39" s="34"/>
      <c r="AC39" s="34"/>
      <c r="AD39" s="34"/>
      <c r="AE39" s="135"/>
    </row>
    <row r="40" spans="5:31" ht="13.5" thickBot="1">
      <c r="E40" s="43"/>
      <c r="F40" s="44"/>
      <c r="G40" s="45" t="s">
        <v>23</v>
      </c>
      <c r="H40" s="133">
        <f>SUM(H33:H39)</f>
        <v>8.09</v>
      </c>
      <c r="I40" s="44">
        <f>SUM(I33:I39)</f>
        <v>8.09</v>
      </c>
      <c r="J40" s="45">
        <f>I40</f>
        <v>8.09</v>
      </c>
      <c r="K40" s="139">
        <f>J40*Dashboard!$C$4</f>
        <v>8.09</v>
      </c>
      <c r="L40" s="137"/>
      <c r="M40" s="43"/>
      <c r="N40" s="44"/>
      <c r="O40" s="45" t="s">
        <v>23</v>
      </c>
      <c r="P40" s="133">
        <f>SUM(P33:P39)</f>
        <v>0</v>
      </c>
      <c r="Q40" s="133">
        <f>SUM(Q33:Q39)</f>
        <v>0</v>
      </c>
      <c r="R40" s="133">
        <f>Q40</f>
        <v>0</v>
      </c>
      <c r="S40" s="159">
        <f>R40*Dashboard!$C$4</f>
        <v>0</v>
      </c>
      <c r="U40" s="43"/>
      <c r="V40" s="44"/>
      <c r="W40" s="44"/>
      <c r="X40" s="44"/>
      <c r="Y40" s="136"/>
      <c r="AA40" s="43"/>
      <c r="AB40" s="44"/>
      <c r="AC40" s="44"/>
      <c r="AD40" s="44"/>
      <c r="AE40" s="136"/>
    </row>
    <row r="41" spans="5:31" ht="14.25" thickTop="1" thickBot="1">
      <c r="E41" s="34"/>
      <c r="F41" s="34"/>
      <c r="G41" s="34"/>
      <c r="H41" s="34"/>
      <c r="I41" s="34"/>
      <c r="Q41" s="34"/>
    </row>
    <row r="42" spans="5:31" ht="35.25" customHeight="1">
      <c r="E42" s="162"/>
      <c r="F42" s="163" t="s">
        <v>70</v>
      </c>
      <c r="G42" s="164" t="s">
        <v>193</v>
      </c>
    </row>
    <row r="43" spans="5:31" ht="55.5" customHeight="1">
      <c r="E43" s="165" t="s">
        <v>184</v>
      </c>
      <c r="F43" s="161">
        <f>SUM(X14:X32)</f>
        <v>0</v>
      </c>
      <c r="G43" s="166">
        <f>SUM(Y14:Y32)</f>
        <v>0</v>
      </c>
    </row>
    <row r="44" spans="5:31" ht="37.5" customHeight="1">
      <c r="E44" s="165" t="s">
        <v>185</v>
      </c>
      <c r="F44" s="161">
        <f>SUM(J22:J40)</f>
        <v>8.09</v>
      </c>
      <c r="G44" s="166">
        <f>SUM(K22:K40)</f>
        <v>8.09</v>
      </c>
    </row>
    <row r="45" spans="5:31" ht="36.75" customHeight="1">
      <c r="E45" s="165" t="s">
        <v>186</v>
      </c>
      <c r="F45" s="161">
        <f>SUM(R22:R40)</f>
        <v>0</v>
      </c>
      <c r="G45" s="166">
        <f>SUM(S22:S40)</f>
        <v>0</v>
      </c>
    </row>
    <row r="46" spans="5:31" ht="25.5">
      <c r="E46" s="165" t="s">
        <v>191</v>
      </c>
      <c r="F46" s="161">
        <f>SUM(AD14:AD32)</f>
        <v>0</v>
      </c>
      <c r="G46" s="166">
        <f>SUM(AE14:AE32)</f>
        <v>0</v>
      </c>
    </row>
    <row r="47" spans="5:31" ht="13.5" thickBot="1">
      <c r="E47" s="167" t="s">
        <v>192</v>
      </c>
      <c r="F47" s="168">
        <f>SUM(F43:F46)</f>
        <v>8.09</v>
      </c>
      <c r="G47" s="169">
        <f>SUM(G43:G46)</f>
        <v>8.09</v>
      </c>
    </row>
    <row r="51" spans="1:2">
      <c r="A51" s="241" t="s">
        <v>221</v>
      </c>
      <c r="B51" s="30" t="s">
        <v>222</v>
      </c>
    </row>
  </sheetData>
  <mergeCells count="4">
    <mergeCell ref="E1:K1"/>
    <mergeCell ref="M1:S1"/>
    <mergeCell ref="U1:Y1"/>
    <mergeCell ref="AA1:AE1"/>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sheetPr codeName="Sheet6"/>
  <dimension ref="A1:T43"/>
  <sheetViews>
    <sheetView workbookViewId="0">
      <selection activeCell="B3" sqref="B3"/>
    </sheetView>
  </sheetViews>
  <sheetFormatPr defaultRowHeight="12.75"/>
  <cols>
    <col min="1" max="1" width="9.140625" style="2"/>
    <col min="2" max="2" width="11.28515625" style="2" customWidth="1"/>
    <col min="3" max="3" width="18.42578125" style="2" customWidth="1"/>
    <col min="4" max="4" width="20.7109375" style="2" customWidth="1"/>
    <col min="5" max="5" width="18.140625" style="2" customWidth="1"/>
    <col min="6" max="6" width="7.140625" style="2" customWidth="1"/>
    <col min="7" max="7" width="9.140625" style="2"/>
    <col min="8" max="8" width="13.28515625" style="2" customWidth="1"/>
    <col min="9" max="9" width="9.140625" style="2"/>
    <col min="10" max="10" width="10.42578125" style="2" customWidth="1"/>
    <col min="11" max="11" width="18" style="2" customWidth="1"/>
    <col min="12" max="12" width="7.140625" style="2" customWidth="1"/>
    <col min="13" max="13" width="9.140625" style="3"/>
    <col min="14" max="15" width="9.140625" style="2"/>
    <col min="16" max="16" width="10" style="2" customWidth="1"/>
    <col min="17" max="17" width="18" style="2" customWidth="1"/>
    <col min="18" max="18" width="9.140625" style="2"/>
    <col min="19" max="19" width="17.42578125" style="2" customWidth="1"/>
    <col min="20" max="20" width="9.140625" style="3"/>
    <col min="21" max="16384" width="9.140625" style="2"/>
  </cols>
  <sheetData>
    <row r="1" spans="2:17">
      <c r="B1" s="68" t="s">
        <v>82</v>
      </c>
    </row>
    <row r="2" spans="2:17">
      <c r="B2" s="69" t="s">
        <v>207</v>
      </c>
      <c r="K2" s="69"/>
    </row>
    <row r="3" spans="2:17">
      <c r="B3" s="69" t="s">
        <v>201</v>
      </c>
      <c r="K3" s="69"/>
    </row>
    <row r="4" spans="2:17">
      <c r="B4" s="69"/>
      <c r="K4" s="69"/>
    </row>
    <row r="5" spans="2:17">
      <c r="B5" s="68" t="s">
        <v>175</v>
      </c>
      <c r="K5" s="69"/>
    </row>
    <row r="6" spans="2:17">
      <c r="B6" s="69" t="s">
        <v>177</v>
      </c>
      <c r="K6" s="69"/>
    </row>
    <row r="7" spans="2:17">
      <c r="B7" s="69" t="s">
        <v>199</v>
      </c>
      <c r="K7" s="69"/>
    </row>
    <row r="8" spans="2:17">
      <c r="B8" s="69" t="s">
        <v>200</v>
      </c>
      <c r="K8" s="69"/>
    </row>
    <row r="9" spans="2:17">
      <c r="B9" s="69" t="s">
        <v>174</v>
      </c>
      <c r="K9" s="69"/>
    </row>
    <row r="10" spans="2:17">
      <c r="B10" s="69" t="s">
        <v>176</v>
      </c>
      <c r="K10" s="69"/>
    </row>
    <row r="11" spans="2:17">
      <c r="B11" s="69"/>
      <c r="K11" s="69"/>
    </row>
    <row r="12" spans="2:17" ht="12.75" customHeight="1">
      <c r="D12" s="3"/>
      <c r="E12" s="102" t="s">
        <v>116</v>
      </c>
      <c r="F12" s="94"/>
      <c r="J12" s="69"/>
      <c r="K12" s="101" t="s">
        <v>116</v>
      </c>
      <c r="M12" s="2"/>
      <c r="Q12" s="101" t="s">
        <v>116</v>
      </c>
    </row>
    <row r="13" spans="2:17" ht="14.25" customHeight="1">
      <c r="E13" s="95" t="s">
        <v>90</v>
      </c>
      <c r="F13" s="3"/>
      <c r="K13" s="95" t="s">
        <v>115</v>
      </c>
      <c r="M13" s="2"/>
      <c r="Q13" s="95" t="s">
        <v>117</v>
      </c>
    </row>
    <row r="14" spans="2:17" ht="25.5">
      <c r="B14" s="97" t="s">
        <v>83</v>
      </c>
      <c r="C14" s="97" t="s">
        <v>76</v>
      </c>
      <c r="D14" s="97" t="s">
        <v>15</v>
      </c>
      <c r="E14" s="100" t="s">
        <v>74</v>
      </c>
      <c r="G14" s="97" t="s">
        <v>83</v>
      </c>
      <c r="H14" s="98" t="s">
        <v>76</v>
      </c>
      <c r="I14" s="99"/>
      <c r="J14" s="98" t="s">
        <v>45</v>
      </c>
      <c r="K14" s="100" t="s">
        <v>74</v>
      </c>
      <c r="M14" s="72" t="s">
        <v>83</v>
      </c>
      <c r="N14" s="70" t="s">
        <v>76</v>
      </c>
      <c r="O14" s="75"/>
      <c r="P14" s="70" t="s">
        <v>45</v>
      </c>
      <c r="Q14" s="96" t="s">
        <v>74</v>
      </c>
    </row>
    <row r="15" spans="2:17" ht="30.75" hidden="1" customHeight="1">
      <c r="B15" s="71"/>
      <c r="C15" s="71"/>
      <c r="D15" s="71"/>
      <c r="E15" s="71"/>
      <c r="G15" s="71"/>
      <c r="H15" s="71"/>
      <c r="I15" s="71"/>
      <c r="J15" s="71"/>
      <c r="K15" s="71"/>
      <c r="M15" s="71"/>
      <c r="N15" s="71"/>
      <c r="O15" s="75"/>
      <c r="P15" s="71"/>
      <c r="Q15" s="76"/>
    </row>
    <row r="16" spans="2:17" ht="51">
      <c r="B16" s="88" t="s">
        <v>75</v>
      </c>
      <c r="C16" s="89" t="s">
        <v>77</v>
      </c>
      <c r="D16" s="73" t="s">
        <v>1</v>
      </c>
      <c r="E16" s="87" t="s">
        <v>91</v>
      </c>
      <c r="G16" s="92" t="s">
        <v>81</v>
      </c>
      <c r="H16" s="89" t="s">
        <v>77</v>
      </c>
      <c r="I16" s="83"/>
      <c r="J16" s="74" t="s">
        <v>46</v>
      </c>
      <c r="K16" s="87" t="s">
        <v>131</v>
      </c>
      <c r="M16" s="92" t="s">
        <v>89</v>
      </c>
      <c r="N16" s="85" t="s">
        <v>77</v>
      </c>
      <c r="O16" s="78"/>
      <c r="P16" s="74" t="s">
        <v>46</v>
      </c>
      <c r="Q16" s="93" t="s">
        <v>146</v>
      </c>
    </row>
    <row r="17" spans="1:17" ht="15">
      <c r="B17" s="79"/>
      <c r="C17" s="90"/>
      <c r="D17" s="73" t="s">
        <v>2</v>
      </c>
      <c r="E17" s="87" t="s">
        <v>92</v>
      </c>
      <c r="G17" s="79"/>
      <c r="H17" s="91"/>
      <c r="I17" s="80"/>
      <c r="J17" s="86" t="s">
        <v>47</v>
      </c>
      <c r="K17" s="87" t="s">
        <v>125</v>
      </c>
      <c r="M17" s="79"/>
      <c r="N17" s="3"/>
      <c r="O17" s="3"/>
      <c r="P17" s="74" t="s">
        <v>47</v>
      </c>
      <c r="Q17" s="93" t="s">
        <v>147</v>
      </c>
    </row>
    <row r="18" spans="1:17" ht="15">
      <c r="B18" s="79"/>
      <c r="C18" s="90"/>
      <c r="D18" s="84" t="s">
        <v>5</v>
      </c>
      <c r="E18" s="87" t="s">
        <v>93</v>
      </c>
      <c r="G18" s="79"/>
      <c r="H18" s="91"/>
      <c r="I18" s="80"/>
      <c r="J18" s="86" t="s">
        <v>68</v>
      </c>
      <c r="K18" s="87" t="s">
        <v>126</v>
      </c>
      <c r="M18" s="79"/>
      <c r="N18" s="3"/>
      <c r="O18" s="3"/>
      <c r="P18" s="74" t="s">
        <v>68</v>
      </c>
      <c r="Q18" s="93" t="s">
        <v>148</v>
      </c>
    </row>
    <row r="19" spans="1:17" ht="15">
      <c r="B19" s="79"/>
      <c r="C19" s="90"/>
      <c r="D19" s="84" t="s">
        <v>3</v>
      </c>
      <c r="E19" s="87" t="s">
        <v>94</v>
      </c>
      <c r="G19" s="79"/>
      <c r="H19" s="91"/>
      <c r="I19" s="80"/>
      <c r="J19" s="86" t="s">
        <v>62</v>
      </c>
      <c r="K19" s="87" t="s">
        <v>132</v>
      </c>
      <c r="M19" s="79"/>
      <c r="N19" s="3"/>
      <c r="O19" s="3"/>
      <c r="P19" s="74" t="s">
        <v>62</v>
      </c>
      <c r="Q19" s="93" t="s">
        <v>149</v>
      </c>
    </row>
    <row r="20" spans="1:17" ht="15">
      <c r="A20" s="80"/>
      <c r="B20" s="3"/>
      <c r="C20" s="90"/>
      <c r="D20" s="84" t="s">
        <v>4</v>
      </c>
      <c r="E20" s="87" t="s">
        <v>95</v>
      </c>
      <c r="G20" s="79"/>
      <c r="H20" s="91"/>
      <c r="I20" s="80"/>
      <c r="J20" s="86" t="s">
        <v>53</v>
      </c>
      <c r="K20" s="87" t="s">
        <v>129</v>
      </c>
      <c r="M20" s="79"/>
      <c r="N20" s="3"/>
      <c r="O20" s="3"/>
      <c r="P20" s="74" t="s">
        <v>53</v>
      </c>
      <c r="Q20" s="93" t="s">
        <v>150</v>
      </c>
    </row>
    <row r="21" spans="1:17" ht="15">
      <c r="A21" s="80"/>
      <c r="B21" s="3"/>
      <c r="C21" s="90"/>
      <c r="D21" s="84" t="s">
        <v>6</v>
      </c>
      <c r="E21" s="87" t="s">
        <v>96</v>
      </c>
      <c r="G21" s="79"/>
      <c r="H21" s="91"/>
      <c r="I21" s="80"/>
      <c r="J21" s="86" t="s">
        <v>48</v>
      </c>
      <c r="K21" s="87" t="s">
        <v>133</v>
      </c>
      <c r="M21" s="79"/>
      <c r="N21" s="3"/>
      <c r="O21" s="3"/>
      <c r="P21" s="74" t="s">
        <v>48</v>
      </c>
      <c r="Q21" s="93" t="s">
        <v>151</v>
      </c>
    </row>
    <row r="22" spans="1:17" ht="15">
      <c r="A22" s="80"/>
      <c r="B22" s="79"/>
      <c r="C22" s="90" t="s">
        <v>78</v>
      </c>
      <c r="D22" s="84" t="s">
        <v>1</v>
      </c>
      <c r="E22" s="87" t="s">
        <v>97</v>
      </c>
      <c r="G22" s="79"/>
      <c r="H22" s="91"/>
      <c r="I22" s="80"/>
      <c r="J22" s="86" t="s">
        <v>52</v>
      </c>
      <c r="K22" s="87" t="s">
        <v>134</v>
      </c>
      <c r="M22" s="79"/>
      <c r="N22" s="3"/>
      <c r="O22" s="3"/>
      <c r="P22" s="74" t="s">
        <v>52</v>
      </c>
      <c r="Q22" s="93" t="s">
        <v>152</v>
      </c>
    </row>
    <row r="23" spans="1:17" ht="15">
      <c r="A23" s="80"/>
      <c r="B23" s="3"/>
      <c r="C23" s="90"/>
      <c r="D23" s="84" t="s">
        <v>2</v>
      </c>
      <c r="E23" s="87" t="s">
        <v>98</v>
      </c>
      <c r="G23" s="79"/>
      <c r="H23" s="91" t="s">
        <v>78</v>
      </c>
      <c r="I23" s="80"/>
      <c r="J23" s="86" t="s">
        <v>46</v>
      </c>
      <c r="K23" s="87" t="s">
        <v>119</v>
      </c>
      <c r="M23" s="79"/>
      <c r="N23" s="77" t="s">
        <v>78</v>
      </c>
      <c r="O23" s="3"/>
      <c r="P23" s="74" t="s">
        <v>46</v>
      </c>
      <c r="Q23" s="93" t="s">
        <v>153</v>
      </c>
    </row>
    <row r="24" spans="1:17" ht="15">
      <c r="A24" s="80"/>
      <c r="B24" s="3"/>
      <c r="C24" s="90"/>
      <c r="D24" s="84" t="s">
        <v>5</v>
      </c>
      <c r="E24" s="87" t="s">
        <v>99</v>
      </c>
      <c r="G24" s="79"/>
      <c r="H24" s="91"/>
      <c r="I24" s="80"/>
      <c r="J24" s="86" t="s">
        <v>47</v>
      </c>
      <c r="K24" s="87" t="s">
        <v>118</v>
      </c>
      <c r="M24" s="79"/>
      <c r="N24" s="3"/>
      <c r="O24" s="3"/>
      <c r="P24" s="74" t="s">
        <v>47</v>
      </c>
      <c r="Q24" s="93" t="s">
        <v>154</v>
      </c>
    </row>
    <row r="25" spans="1:17" ht="15">
      <c r="A25" s="80"/>
      <c r="B25" s="3"/>
      <c r="C25" s="90"/>
      <c r="D25" s="84" t="s">
        <v>3</v>
      </c>
      <c r="E25" s="87" t="s">
        <v>100</v>
      </c>
      <c r="G25" s="79"/>
      <c r="H25" s="91"/>
      <c r="I25" s="80"/>
      <c r="J25" s="86" t="s">
        <v>68</v>
      </c>
      <c r="K25" s="87" t="s">
        <v>120</v>
      </c>
      <c r="M25" s="79"/>
      <c r="N25" s="3"/>
      <c r="O25" s="3"/>
      <c r="P25" s="74" t="s">
        <v>68</v>
      </c>
      <c r="Q25" s="93" t="s">
        <v>155</v>
      </c>
    </row>
    <row r="26" spans="1:17" ht="15">
      <c r="A26" s="80"/>
      <c r="B26" s="3"/>
      <c r="C26" s="90"/>
      <c r="D26" s="84" t="s">
        <v>4</v>
      </c>
      <c r="E26" s="87" t="s">
        <v>101</v>
      </c>
      <c r="G26" s="79"/>
      <c r="H26" s="91"/>
      <c r="I26" s="80"/>
      <c r="J26" s="86" t="s">
        <v>62</v>
      </c>
      <c r="K26" s="87" t="s">
        <v>121</v>
      </c>
      <c r="M26" s="79"/>
      <c r="N26" s="3"/>
      <c r="O26" s="3"/>
      <c r="P26" s="74" t="s">
        <v>62</v>
      </c>
      <c r="Q26" s="93" t="s">
        <v>156</v>
      </c>
    </row>
    <row r="27" spans="1:17" ht="15">
      <c r="A27" s="80"/>
      <c r="B27" s="3"/>
      <c r="C27" s="90"/>
      <c r="D27" s="84" t="s">
        <v>6</v>
      </c>
      <c r="E27" s="87" t="s">
        <v>102</v>
      </c>
      <c r="G27" s="79"/>
      <c r="H27" s="91"/>
      <c r="I27" s="80"/>
      <c r="J27" s="86" t="s">
        <v>53</v>
      </c>
      <c r="K27" s="87" t="s">
        <v>122</v>
      </c>
      <c r="M27" s="79"/>
      <c r="N27" s="3"/>
      <c r="O27" s="3"/>
      <c r="P27" s="74" t="s">
        <v>53</v>
      </c>
      <c r="Q27" s="93" t="s">
        <v>157</v>
      </c>
    </row>
    <row r="28" spans="1:17" ht="15">
      <c r="A28" s="80"/>
      <c r="B28" s="79"/>
      <c r="C28" s="90" t="s">
        <v>79</v>
      </c>
      <c r="D28" s="84" t="s">
        <v>1</v>
      </c>
      <c r="E28" s="87" t="s">
        <v>103</v>
      </c>
      <c r="G28" s="79"/>
      <c r="H28" s="91"/>
      <c r="I28" s="80"/>
      <c r="J28" s="86" t="s">
        <v>48</v>
      </c>
      <c r="K28" s="87" t="s">
        <v>123</v>
      </c>
      <c r="M28" s="79"/>
      <c r="N28" s="3"/>
      <c r="O28" s="3"/>
      <c r="P28" s="74" t="s">
        <v>48</v>
      </c>
      <c r="Q28" s="93" t="s">
        <v>158</v>
      </c>
    </row>
    <row r="29" spans="1:17" ht="15">
      <c r="A29" s="80"/>
      <c r="B29" s="3"/>
      <c r="C29" s="90"/>
      <c r="D29" s="84" t="s">
        <v>2</v>
      </c>
      <c r="E29" s="87" t="s">
        <v>104</v>
      </c>
      <c r="G29" s="79"/>
      <c r="H29" s="91"/>
      <c r="I29" s="80"/>
      <c r="J29" s="86" t="s">
        <v>52</v>
      </c>
      <c r="K29" s="87" t="s">
        <v>124</v>
      </c>
      <c r="M29" s="79"/>
      <c r="N29" s="3"/>
      <c r="O29" s="3"/>
      <c r="P29" s="74" t="s">
        <v>52</v>
      </c>
      <c r="Q29" s="93" t="s">
        <v>159</v>
      </c>
    </row>
    <row r="30" spans="1:17" ht="15">
      <c r="A30" s="80"/>
      <c r="B30" s="3"/>
      <c r="C30" s="90"/>
      <c r="D30" s="84" t="s">
        <v>5</v>
      </c>
      <c r="E30" s="87" t="s">
        <v>105</v>
      </c>
      <c r="G30" s="79"/>
      <c r="H30" s="91" t="s">
        <v>79</v>
      </c>
      <c r="I30" s="80"/>
      <c r="J30" s="86" t="s">
        <v>46</v>
      </c>
      <c r="K30" s="87" t="s">
        <v>135</v>
      </c>
      <c r="M30" s="79"/>
      <c r="N30" s="77" t="s">
        <v>79</v>
      </c>
      <c r="O30" s="3"/>
      <c r="P30" s="74" t="s">
        <v>46</v>
      </c>
      <c r="Q30" s="93" t="s">
        <v>160</v>
      </c>
    </row>
    <row r="31" spans="1:17" ht="15">
      <c r="A31" s="80"/>
      <c r="B31" s="3"/>
      <c r="C31" s="90"/>
      <c r="D31" s="84" t="s">
        <v>3</v>
      </c>
      <c r="E31" s="87" t="s">
        <v>106</v>
      </c>
      <c r="G31" s="79"/>
      <c r="H31" s="91"/>
      <c r="I31" s="80"/>
      <c r="J31" s="86" t="s">
        <v>47</v>
      </c>
      <c r="K31" s="87" t="s">
        <v>136</v>
      </c>
      <c r="M31" s="79"/>
      <c r="N31" s="3"/>
      <c r="O31" s="3"/>
      <c r="P31" s="74" t="s">
        <v>47</v>
      </c>
      <c r="Q31" s="93" t="s">
        <v>161</v>
      </c>
    </row>
    <row r="32" spans="1:17" ht="15">
      <c r="A32" s="80"/>
      <c r="B32" s="3"/>
      <c r="C32" s="90"/>
      <c r="D32" s="84" t="s">
        <v>4</v>
      </c>
      <c r="E32" s="87" t="s">
        <v>107</v>
      </c>
      <c r="G32" s="79"/>
      <c r="H32" s="91"/>
      <c r="I32" s="80"/>
      <c r="J32" s="86" t="s">
        <v>68</v>
      </c>
      <c r="K32" s="87" t="s">
        <v>128</v>
      </c>
      <c r="M32" s="79"/>
      <c r="N32" s="3"/>
      <c r="O32" s="3"/>
      <c r="P32" s="74" t="s">
        <v>68</v>
      </c>
      <c r="Q32" s="93" t="s">
        <v>162</v>
      </c>
    </row>
    <row r="33" spans="1:17" ht="15">
      <c r="A33" s="80"/>
      <c r="B33" s="3"/>
      <c r="C33" s="90"/>
      <c r="D33" s="84" t="s">
        <v>6</v>
      </c>
      <c r="E33" s="87" t="s">
        <v>108</v>
      </c>
      <c r="G33" s="79"/>
      <c r="H33" s="91"/>
      <c r="I33" s="80"/>
      <c r="J33" s="86" t="s">
        <v>62</v>
      </c>
      <c r="K33" s="87" t="s">
        <v>137</v>
      </c>
      <c r="M33" s="79"/>
      <c r="N33" s="3"/>
      <c r="O33" s="3"/>
      <c r="P33" s="74" t="s">
        <v>62</v>
      </c>
      <c r="Q33" s="93" t="s">
        <v>163</v>
      </c>
    </row>
    <row r="34" spans="1:17" ht="15">
      <c r="A34" s="80"/>
      <c r="B34" s="79"/>
      <c r="C34" s="90" t="s">
        <v>80</v>
      </c>
      <c r="D34" s="84" t="s">
        <v>1</v>
      </c>
      <c r="E34" s="87" t="s">
        <v>109</v>
      </c>
      <c r="G34" s="79"/>
      <c r="H34" s="91"/>
      <c r="I34" s="80"/>
      <c r="J34" s="86" t="s">
        <v>53</v>
      </c>
      <c r="K34" s="87" t="s">
        <v>138</v>
      </c>
      <c r="M34" s="79"/>
      <c r="N34" s="3"/>
      <c r="O34" s="3"/>
      <c r="P34" s="74" t="s">
        <v>53</v>
      </c>
      <c r="Q34" s="93" t="s">
        <v>164</v>
      </c>
    </row>
    <row r="35" spans="1:17" ht="15">
      <c r="A35" s="80"/>
      <c r="B35" s="3"/>
      <c r="C35" s="90"/>
      <c r="D35" s="84" t="s">
        <v>2</v>
      </c>
      <c r="E35" s="87" t="s">
        <v>110</v>
      </c>
      <c r="G35" s="79"/>
      <c r="H35" s="91"/>
      <c r="I35" s="80"/>
      <c r="J35" s="86" t="s">
        <v>48</v>
      </c>
      <c r="K35" s="87" t="s">
        <v>139</v>
      </c>
      <c r="M35" s="79"/>
      <c r="N35" s="3"/>
      <c r="O35" s="3"/>
      <c r="P35" s="74" t="s">
        <v>48</v>
      </c>
      <c r="Q35" s="93" t="s">
        <v>165</v>
      </c>
    </row>
    <row r="36" spans="1:17" ht="15">
      <c r="A36" s="80"/>
      <c r="B36" s="3"/>
      <c r="C36" s="80"/>
      <c r="D36" s="84" t="s">
        <v>5</v>
      </c>
      <c r="E36" s="87" t="s">
        <v>111</v>
      </c>
      <c r="G36" s="79"/>
      <c r="H36" s="91"/>
      <c r="I36" s="80"/>
      <c r="J36" s="86" t="s">
        <v>52</v>
      </c>
      <c r="K36" s="87" t="s">
        <v>140</v>
      </c>
      <c r="M36" s="79"/>
      <c r="N36" s="3"/>
      <c r="O36" s="3"/>
      <c r="P36" s="74" t="s">
        <v>52</v>
      </c>
      <c r="Q36" s="93" t="s">
        <v>166</v>
      </c>
    </row>
    <row r="37" spans="1:17" ht="15">
      <c r="A37" s="80"/>
      <c r="B37" s="3"/>
      <c r="C37" s="80"/>
      <c r="D37" s="84" t="s">
        <v>3</v>
      </c>
      <c r="E37" s="87" t="s">
        <v>112</v>
      </c>
      <c r="G37" s="79"/>
      <c r="H37" s="91" t="s">
        <v>80</v>
      </c>
      <c r="I37" s="80"/>
      <c r="J37" s="86" t="s">
        <v>46</v>
      </c>
      <c r="K37" s="87" t="s">
        <v>141</v>
      </c>
      <c r="M37" s="79"/>
      <c r="N37" s="77" t="s">
        <v>80</v>
      </c>
      <c r="O37" s="3"/>
      <c r="P37" s="74" t="s">
        <v>46</v>
      </c>
      <c r="Q37" s="93" t="s">
        <v>167</v>
      </c>
    </row>
    <row r="38" spans="1:17" ht="15">
      <c r="A38" s="80"/>
      <c r="B38" s="3"/>
      <c r="C38" s="80"/>
      <c r="D38" s="84" t="s">
        <v>4</v>
      </c>
      <c r="E38" s="87" t="s">
        <v>113</v>
      </c>
      <c r="G38" s="79"/>
      <c r="H38" s="3"/>
      <c r="I38" s="80"/>
      <c r="J38" s="86" t="s">
        <v>47</v>
      </c>
      <c r="K38" s="87" t="s">
        <v>127</v>
      </c>
      <c r="M38" s="79"/>
      <c r="N38" s="3"/>
      <c r="O38" s="3"/>
      <c r="P38" s="74" t="s">
        <v>47</v>
      </c>
      <c r="Q38" s="93" t="s">
        <v>168</v>
      </c>
    </row>
    <row r="39" spans="1:17" ht="15">
      <c r="A39" s="80"/>
      <c r="B39" s="81"/>
      <c r="C39" s="82"/>
      <c r="D39" s="84" t="s">
        <v>6</v>
      </c>
      <c r="E39" s="87" t="s">
        <v>114</v>
      </c>
      <c r="G39" s="79"/>
      <c r="H39" s="3"/>
      <c r="I39" s="80"/>
      <c r="J39" s="86" t="s">
        <v>68</v>
      </c>
      <c r="K39" s="87" t="s">
        <v>142</v>
      </c>
      <c r="M39" s="79"/>
      <c r="N39" s="3"/>
      <c r="O39" s="3"/>
      <c r="P39" s="74" t="s">
        <v>68</v>
      </c>
      <c r="Q39" s="93" t="s">
        <v>169</v>
      </c>
    </row>
    <row r="40" spans="1:17">
      <c r="G40" s="79"/>
      <c r="H40" s="3"/>
      <c r="I40" s="80"/>
      <c r="J40" s="86" t="s">
        <v>62</v>
      </c>
      <c r="K40" s="87" t="s">
        <v>143</v>
      </c>
      <c r="M40" s="79"/>
      <c r="N40" s="3"/>
      <c r="O40" s="3"/>
      <c r="P40" s="74" t="s">
        <v>62</v>
      </c>
      <c r="Q40" s="93" t="s">
        <v>170</v>
      </c>
    </row>
    <row r="41" spans="1:17">
      <c r="G41" s="79"/>
      <c r="H41" s="3"/>
      <c r="I41" s="80"/>
      <c r="J41" s="86" t="s">
        <v>53</v>
      </c>
      <c r="K41" s="87" t="s">
        <v>130</v>
      </c>
      <c r="M41" s="79"/>
      <c r="N41" s="3"/>
      <c r="O41" s="3"/>
      <c r="P41" s="74" t="s">
        <v>53</v>
      </c>
      <c r="Q41" s="93" t="s">
        <v>171</v>
      </c>
    </row>
    <row r="42" spans="1:17">
      <c r="G42" s="79"/>
      <c r="H42" s="3"/>
      <c r="I42" s="80"/>
      <c r="J42" s="86" t="s">
        <v>48</v>
      </c>
      <c r="K42" s="87" t="s">
        <v>144</v>
      </c>
      <c r="M42" s="79"/>
      <c r="N42" s="3"/>
      <c r="O42" s="3"/>
      <c r="P42" s="74" t="s">
        <v>48</v>
      </c>
      <c r="Q42" s="93" t="s">
        <v>172</v>
      </c>
    </row>
    <row r="43" spans="1:17">
      <c r="G43" s="81"/>
      <c r="H43" s="66"/>
      <c r="I43" s="82"/>
      <c r="J43" s="86" t="s">
        <v>52</v>
      </c>
      <c r="K43" s="87" t="s">
        <v>145</v>
      </c>
      <c r="M43" s="81"/>
      <c r="N43" s="66"/>
      <c r="O43" s="66"/>
      <c r="P43" s="74" t="s">
        <v>52</v>
      </c>
      <c r="Q43" s="93" t="s">
        <v>173</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dimension ref="A1:E79"/>
  <sheetViews>
    <sheetView workbookViewId="0">
      <selection activeCell="J21" sqref="J21"/>
    </sheetView>
  </sheetViews>
  <sheetFormatPr defaultRowHeight="12.75"/>
  <cols>
    <col min="1" max="16384" width="9.140625" style="363"/>
  </cols>
  <sheetData>
    <row r="1" spans="1:5">
      <c r="A1" s="372" t="s">
        <v>245</v>
      </c>
    </row>
    <row r="2" spans="1:5">
      <c r="B2" s="372" t="s">
        <v>4</v>
      </c>
    </row>
    <row r="3" spans="1:5">
      <c r="B3" s="372" t="s">
        <v>243</v>
      </c>
    </row>
    <row r="4" spans="1:5" ht="15">
      <c r="B4" s="371"/>
      <c r="C4" s="401" t="s">
        <v>242</v>
      </c>
      <c r="D4" s="401"/>
      <c r="E4" s="401"/>
    </row>
    <row r="5" spans="1:5" ht="15.75" thickBot="1">
      <c r="B5" s="370"/>
      <c r="C5" s="369" t="s">
        <v>56</v>
      </c>
      <c r="D5" s="369" t="s">
        <v>54</v>
      </c>
      <c r="E5" s="369" t="s">
        <v>44</v>
      </c>
    </row>
    <row r="6" spans="1:5" ht="15.75" thickTop="1">
      <c r="B6" s="377" t="s">
        <v>57</v>
      </c>
      <c r="C6" s="376">
        <v>2.9131391877169368</v>
      </c>
      <c r="D6" s="376">
        <v>14.785159082453184</v>
      </c>
      <c r="E6" s="375">
        <v>1903.998852469748</v>
      </c>
    </row>
    <row r="7" spans="1:5" ht="15">
      <c r="B7" s="366" t="s">
        <v>0</v>
      </c>
      <c r="C7" s="374">
        <v>2.7468714274741282</v>
      </c>
      <c r="D7" s="374">
        <v>13.302042172595701</v>
      </c>
      <c r="E7" s="373">
        <v>1835.9543244506217</v>
      </c>
    </row>
    <row r="10" spans="1:5">
      <c r="B10" s="372" t="s">
        <v>241</v>
      </c>
    </row>
    <row r="11" spans="1:5" ht="15">
      <c r="B11" s="371"/>
      <c r="C11" s="401" t="s">
        <v>240</v>
      </c>
      <c r="D11" s="401"/>
      <c r="E11" s="401"/>
    </row>
    <row r="12" spans="1:5" ht="15.75" thickBot="1">
      <c r="B12" s="370"/>
      <c r="C12" s="369" t="s">
        <v>56</v>
      </c>
      <c r="D12" s="369" t="s">
        <v>54</v>
      </c>
      <c r="E12" s="369" t="s">
        <v>44</v>
      </c>
    </row>
    <row r="13" spans="1:5" ht="15.75" thickTop="1">
      <c r="B13" s="368" t="s">
        <v>57</v>
      </c>
      <c r="C13" s="367">
        <v>1.4565695938579346</v>
      </c>
      <c r="D13" s="367">
        <v>7.3925795412238831</v>
      </c>
      <c r="E13" s="367">
        <v>951.99942623452512</v>
      </c>
    </row>
    <row r="14" spans="1:5" ht="15">
      <c r="B14" s="366" t="s">
        <v>0</v>
      </c>
      <c r="C14" s="365">
        <v>0.58355339343934232</v>
      </c>
      <c r="D14" s="365">
        <v>2.8259247126937379</v>
      </c>
      <c r="E14" s="364">
        <v>390.03550203220664</v>
      </c>
    </row>
    <row r="18" spans="2:5">
      <c r="B18" s="372" t="s">
        <v>2</v>
      </c>
    </row>
    <row r="19" spans="2:5">
      <c r="B19" s="372" t="s">
        <v>243</v>
      </c>
    </row>
    <row r="20" spans="2:5" ht="15">
      <c r="B20" s="371"/>
      <c r="C20" s="401" t="s">
        <v>242</v>
      </c>
      <c r="D20" s="401"/>
      <c r="E20" s="401"/>
    </row>
    <row r="21" spans="2:5" ht="15.75" thickBot="1">
      <c r="B21" s="370"/>
      <c r="C21" s="369" t="s">
        <v>56</v>
      </c>
      <c r="D21" s="369" t="s">
        <v>54</v>
      </c>
      <c r="E21" s="369" t="s">
        <v>44</v>
      </c>
    </row>
    <row r="22" spans="2:5" ht="15.75" thickTop="1">
      <c r="B22" s="377" t="s">
        <v>57</v>
      </c>
      <c r="C22" s="376">
        <v>2.816658009975014</v>
      </c>
      <c r="D22" s="376">
        <v>13.344252206419659</v>
      </c>
      <c r="E22" s="375">
        <v>1853.1840024954856</v>
      </c>
    </row>
    <row r="23" spans="2:5" ht="15">
      <c r="B23" s="366" t="s">
        <v>0</v>
      </c>
      <c r="C23" s="374">
        <v>2.6413295221824877</v>
      </c>
      <c r="D23" s="374">
        <v>11.673324331225839</v>
      </c>
      <c r="E23" s="373">
        <v>1773.3132501813316</v>
      </c>
    </row>
    <row r="26" spans="2:5">
      <c r="B26" s="372" t="s">
        <v>241</v>
      </c>
    </row>
    <row r="27" spans="2:5" ht="15">
      <c r="B27" s="371"/>
      <c r="C27" s="401" t="s">
        <v>240</v>
      </c>
      <c r="D27" s="401"/>
      <c r="E27" s="401"/>
    </row>
    <row r="28" spans="2:5" ht="15.75" thickBot="1">
      <c r="B28" s="370"/>
      <c r="C28" s="369" t="s">
        <v>56</v>
      </c>
      <c r="D28" s="369" t="s">
        <v>54</v>
      </c>
      <c r="E28" s="369" t="s">
        <v>44</v>
      </c>
    </row>
    <row r="29" spans="2:5" ht="15.75" thickTop="1">
      <c r="B29" s="368" t="s">
        <v>57</v>
      </c>
      <c r="C29" s="367">
        <v>1.4083290049875021</v>
      </c>
      <c r="D29" s="367">
        <v>6.6721261032098065</v>
      </c>
      <c r="E29" s="367">
        <v>926.59200124773963</v>
      </c>
    </row>
    <row r="30" spans="2:5" ht="15">
      <c r="B30" s="366" t="s">
        <v>0</v>
      </c>
      <c r="C30" s="365">
        <v>0.77219910206036046</v>
      </c>
      <c r="D30" s="365">
        <v>3.4127247247756198</v>
      </c>
      <c r="E30" s="364">
        <v>518.43243637783257</v>
      </c>
    </row>
    <row r="34" spans="2:5">
      <c r="B34" s="372" t="s">
        <v>3</v>
      </c>
    </row>
    <row r="35" spans="2:5">
      <c r="B35" s="372" t="s">
        <v>243</v>
      </c>
    </row>
    <row r="36" spans="2:5" ht="15">
      <c r="B36" s="371"/>
      <c r="C36" s="401" t="s">
        <v>242</v>
      </c>
      <c r="D36" s="401"/>
      <c r="E36" s="401"/>
    </row>
    <row r="37" spans="2:5" ht="15.75" thickBot="1">
      <c r="B37" s="370"/>
      <c r="C37" s="369" t="s">
        <v>56</v>
      </c>
      <c r="D37" s="369" t="s">
        <v>54</v>
      </c>
      <c r="E37" s="369" t="s">
        <v>44</v>
      </c>
    </row>
    <row r="38" spans="2:5" ht="15.75" thickTop="1">
      <c r="B38" s="377" t="s">
        <v>57</v>
      </c>
      <c r="C38" s="376">
        <v>2.8415228007508997</v>
      </c>
      <c r="D38" s="376">
        <v>13.832769259436191</v>
      </c>
      <c r="E38" s="375">
        <v>1869.1706534787409</v>
      </c>
    </row>
    <row r="39" spans="2:5" ht="15">
      <c r="B39" s="366" t="s">
        <v>0</v>
      </c>
      <c r="C39" s="374">
        <v>2.6793671794110785</v>
      </c>
      <c r="D39" s="374">
        <v>12.177193752070499</v>
      </c>
      <c r="E39" s="373">
        <v>1802.5348201844602</v>
      </c>
    </row>
    <row r="42" spans="2:5">
      <c r="B42" s="372" t="s">
        <v>241</v>
      </c>
    </row>
    <row r="43" spans="2:5" ht="15">
      <c r="B43" s="371"/>
      <c r="C43" s="401" t="s">
        <v>240</v>
      </c>
      <c r="D43" s="401"/>
      <c r="E43" s="401"/>
    </row>
    <row r="44" spans="2:5" ht="15.75" thickBot="1">
      <c r="B44" s="370"/>
      <c r="C44" s="369" t="s">
        <v>56</v>
      </c>
      <c r="D44" s="369" t="s">
        <v>54</v>
      </c>
      <c r="E44" s="369" t="s">
        <v>44</v>
      </c>
    </row>
    <row r="45" spans="2:5" ht="15.75" thickTop="1">
      <c r="B45" s="368" t="s">
        <v>57</v>
      </c>
      <c r="C45" s="367">
        <v>1.4207614003754492</v>
      </c>
      <c r="D45" s="367">
        <v>6.9163846297180926</v>
      </c>
      <c r="E45" s="367">
        <v>934.58532673936998</v>
      </c>
    </row>
    <row r="46" spans="2:5" ht="15">
      <c r="B46" s="366" t="s">
        <v>0</v>
      </c>
      <c r="C46" s="365">
        <v>0.6422761195603538</v>
      </c>
      <c r="D46" s="365">
        <v>2.9190178973280911</v>
      </c>
      <c r="E46" s="364">
        <v>432.08899421353726</v>
      </c>
    </row>
    <row r="51" spans="2:5">
      <c r="B51" s="372" t="s">
        <v>1</v>
      </c>
    </row>
    <row r="52" spans="2:5">
      <c r="B52" s="372" t="s">
        <v>243</v>
      </c>
    </row>
    <row r="53" spans="2:5" ht="15">
      <c r="B53" s="371"/>
      <c r="C53" s="401" t="s">
        <v>242</v>
      </c>
      <c r="D53" s="401"/>
      <c r="E53" s="401"/>
    </row>
    <row r="54" spans="2:5" ht="15.75" thickBot="1">
      <c r="B54" s="370"/>
      <c r="C54" s="369" t="s">
        <v>56</v>
      </c>
      <c r="D54" s="369" t="s">
        <v>54</v>
      </c>
      <c r="E54" s="369" t="s">
        <v>44</v>
      </c>
    </row>
    <row r="55" spans="2:5" ht="15.75" thickTop="1">
      <c r="B55" s="377" t="s">
        <v>57</v>
      </c>
      <c r="C55" s="376">
        <v>2.9260978314024331</v>
      </c>
      <c r="D55" s="376">
        <v>15.240649958146658</v>
      </c>
      <c r="E55" s="375">
        <v>1917.1195503244078</v>
      </c>
    </row>
    <row r="56" spans="2:5" ht="15">
      <c r="B56" s="366" t="s">
        <v>0</v>
      </c>
      <c r="C56" s="374">
        <v>2.7705223232084077</v>
      </c>
      <c r="D56" s="374">
        <v>13.873370040359216</v>
      </c>
      <c r="E56" s="373">
        <v>1850.2630812133114</v>
      </c>
    </row>
    <row r="59" spans="2:5">
      <c r="B59" s="372" t="s">
        <v>241</v>
      </c>
    </row>
    <row r="60" spans="2:5" ht="15">
      <c r="B60" s="371"/>
      <c r="C60" s="401" t="s">
        <v>240</v>
      </c>
      <c r="D60" s="401"/>
      <c r="E60" s="401"/>
    </row>
    <row r="61" spans="2:5" ht="15.75" thickBot="1">
      <c r="B61" s="370"/>
      <c r="C61" s="369" t="s">
        <v>56</v>
      </c>
      <c r="D61" s="369" t="s">
        <v>54</v>
      </c>
      <c r="E61" s="369" t="s">
        <v>44</v>
      </c>
    </row>
    <row r="62" spans="2:5" ht="15.75" thickTop="1">
      <c r="B62" s="368" t="s">
        <v>57</v>
      </c>
      <c r="C62" s="367">
        <v>1.4630489157012154</v>
      </c>
      <c r="D62" s="367">
        <v>7.6203249790733247</v>
      </c>
      <c r="E62" s="367">
        <v>958.55977516220321</v>
      </c>
    </row>
    <row r="63" spans="2:5" ht="15">
      <c r="B63" s="366" t="s">
        <v>0</v>
      </c>
      <c r="C63" s="365">
        <v>0.49789180001819577</v>
      </c>
      <c r="D63" s="365">
        <v>2.4931895057657543</v>
      </c>
      <c r="E63" s="364">
        <v>332.51160198040776</v>
      </c>
    </row>
    <row r="67" spans="2:5">
      <c r="B67" s="372" t="s">
        <v>244</v>
      </c>
    </row>
    <row r="68" spans="2:5">
      <c r="B68" s="372" t="s">
        <v>243</v>
      </c>
    </row>
    <row r="69" spans="2:5" ht="15">
      <c r="B69" s="371"/>
      <c r="C69" s="401" t="s">
        <v>242</v>
      </c>
      <c r="D69" s="401"/>
      <c r="E69" s="401"/>
    </row>
    <row r="70" spans="2:5" ht="15.75" thickBot="1">
      <c r="B70" s="370"/>
      <c r="C70" s="369" t="s">
        <v>56</v>
      </c>
      <c r="D70" s="369" t="s">
        <v>54</v>
      </c>
      <c r="E70" s="369" t="s">
        <v>44</v>
      </c>
    </row>
    <row r="71" spans="2:5" ht="15.75" thickTop="1">
      <c r="B71" s="377" t="s">
        <v>57</v>
      </c>
      <c r="C71" s="376">
        <v>2.8181112584045525</v>
      </c>
      <c r="D71" s="376">
        <v>13.481927272415302</v>
      </c>
      <c r="E71" s="375">
        <v>1860.6953282964191</v>
      </c>
    </row>
    <row r="72" spans="2:5" ht="15">
      <c r="B72" s="366" t="s">
        <v>0</v>
      </c>
      <c r="C72" s="374">
        <v>2.6914663901417875</v>
      </c>
      <c r="D72" s="374">
        <v>12.13270449582871</v>
      </c>
      <c r="E72" s="373">
        <v>1800.3249965801831</v>
      </c>
    </row>
    <row r="75" spans="2:5">
      <c r="B75" s="372" t="s">
        <v>241</v>
      </c>
    </row>
    <row r="76" spans="2:5" ht="15">
      <c r="B76" s="371"/>
      <c r="C76" s="401" t="s">
        <v>240</v>
      </c>
      <c r="D76" s="401"/>
      <c r="E76" s="401"/>
    </row>
    <row r="77" spans="2:5" ht="15.75" thickBot="1">
      <c r="B77" s="370"/>
      <c r="C77" s="369" t="s">
        <v>56</v>
      </c>
      <c r="D77" s="369" t="s">
        <v>54</v>
      </c>
      <c r="E77" s="369" t="s">
        <v>44</v>
      </c>
    </row>
    <row r="78" spans="2:5" ht="15.75" thickTop="1">
      <c r="B78" s="368" t="s">
        <v>57</v>
      </c>
      <c r="C78" s="367">
        <v>1.409055629202276</v>
      </c>
      <c r="D78" s="367">
        <v>6.740963636207649</v>
      </c>
      <c r="E78" s="367">
        <v>930.34766414820933</v>
      </c>
    </row>
    <row r="79" spans="2:5" ht="15">
      <c r="B79" s="366" t="s">
        <v>0</v>
      </c>
      <c r="C79" s="365">
        <v>0.87217493107250232</v>
      </c>
      <c r="D79" s="365">
        <v>3.9316265460833</v>
      </c>
      <c r="E79" s="364">
        <v>583.39882509835297</v>
      </c>
    </row>
  </sheetData>
  <mergeCells count="10">
    <mergeCell ref="C69:E69"/>
    <mergeCell ref="C76:E76"/>
    <mergeCell ref="C36:E36"/>
    <mergeCell ref="C43:E43"/>
    <mergeCell ref="C4:E4"/>
    <mergeCell ref="C11:E11"/>
    <mergeCell ref="C20:E20"/>
    <mergeCell ref="C27:E27"/>
    <mergeCell ref="C53:E53"/>
    <mergeCell ref="C60:E60"/>
  </mergeCells>
  <pageMargins left="0.75" right="0.75" top="1" bottom="1" header="0.5" footer="0.5"/>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17</vt:i4>
      </vt:variant>
    </vt:vector>
  </HeadingPairs>
  <TitlesOfParts>
    <vt:vector size="25" baseType="lpstr">
      <vt:lpstr>Information</vt:lpstr>
      <vt:lpstr>Dashboard</vt:lpstr>
      <vt:lpstr>Rate Lookup</vt:lpstr>
      <vt:lpstr>Output Sys. Avg. Rates</vt:lpstr>
      <vt:lpstr>Non-Baseload Output Rates</vt:lpstr>
      <vt:lpstr>Rate Reference</vt:lpstr>
      <vt:lpstr>How to Update Values</vt:lpstr>
      <vt:lpstr>Data</vt:lpstr>
      <vt:lpstr>Blue</vt:lpstr>
      <vt:lpstr>Calculation</vt:lpstr>
      <vt:lpstr>Calculations</vt:lpstr>
      <vt:lpstr>Carbon_Dioxide</vt:lpstr>
      <vt:lpstr>CO</vt:lpstr>
      <vt:lpstr>details</vt:lpstr>
      <vt:lpstr>ElectricitySavingsUnit</vt:lpstr>
      <vt:lpstr>EmissionsReductionRateType</vt:lpstr>
      <vt:lpstr>EnergySavingsUnit</vt:lpstr>
      <vt:lpstr>EnergyType</vt:lpstr>
      <vt:lpstr>Nitrogen_Oxide</vt:lpstr>
      <vt:lpstr>Nitrogen_Oxides</vt:lpstr>
      <vt:lpstr>Non_Baseload_Average</vt:lpstr>
      <vt:lpstr>Sulfer_Dioxide</vt:lpstr>
      <vt:lpstr>System_Average</vt:lpstr>
      <vt:lpstr>Time_Matched_Marginal</vt:lpstr>
      <vt:lpstr>Wind</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dc:creator>
  <cp:lastModifiedBy>jsnarr</cp:lastModifiedBy>
  <cp:lastPrinted>2010-04-02T19:40:12Z</cp:lastPrinted>
  <dcterms:created xsi:type="dcterms:W3CDTF">2007-01-17T14:22:03Z</dcterms:created>
  <dcterms:modified xsi:type="dcterms:W3CDTF">2010-04-29T16:48:47Z</dcterms:modified>
</cp:coreProperties>
</file>