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5480" windowHeight="11070"/>
  </bookViews>
  <sheets>
    <sheet name="Summary" sheetId="1" r:id="rId1"/>
    <sheet name="DC Ftotten" sheetId="8" r:id="rId2"/>
    <sheet name="MC F Glen" sheetId="5" r:id="rId3"/>
    <sheet name="PG NewC" sheetId="4" r:id="rId4"/>
    <sheet name="RV Tbrook" sheetId="6" r:id="rId5"/>
    <sheet name="PG WH" sheetId="2" r:id="rId6"/>
    <sheet name="Arl A-N" sheetId="3" r:id="rId7"/>
    <sheet name="VRE" sheetId="7" r:id="rId8"/>
  </sheets>
  <definedNames>
    <definedName name="_xlnm.Print_Area" localSheetId="2">'MC F Glen'!$A$1:$AB$35</definedName>
    <definedName name="_xlnm.Print_Area" localSheetId="5">'PG WH'!$A$1:$N$31</definedName>
    <definedName name="_xlnm.Print_Area" localSheetId="0">Summary!$A$1:$X$28</definedName>
  </definedNames>
  <calcPr calcId="125725"/>
</workbook>
</file>

<file path=xl/calcChain.xml><?xml version="1.0" encoding="utf-8"?>
<calcChain xmlns="http://schemas.openxmlformats.org/spreadsheetml/2006/main">
  <c r="L26" i="4"/>
  <c r="L24"/>
  <c r="L29" i="2"/>
  <c r="N20" i="1"/>
  <c r="M20"/>
  <c r="L20"/>
  <c r="K20"/>
  <c r="J20"/>
  <c r="B20"/>
  <c r="I60" i="7"/>
  <c r="J60"/>
  <c r="K60"/>
  <c r="L60"/>
  <c r="M60"/>
  <c r="H44" i="4"/>
  <c r="G11" i="1" s="1"/>
  <c r="G44" i="4"/>
  <c r="F11" i="1" s="1"/>
  <c r="I15"/>
  <c r="K21" i="2"/>
  <c r="J21"/>
  <c r="I21"/>
  <c r="E23"/>
  <c r="O36" i="4"/>
  <c r="O34"/>
  <c r="O32"/>
  <c r="O30"/>
  <c r="O28"/>
  <c r="O26"/>
  <c r="O24"/>
  <c r="O22"/>
  <c r="O19"/>
  <c r="O17"/>
  <c r="O15"/>
  <c r="O13"/>
  <c r="M40"/>
  <c r="L40"/>
  <c r="K40"/>
  <c r="J40"/>
  <c r="I40"/>
  <c r="I41" s="1"/>
  <c r="H42"/>
  <c r="G42"/>
  <c r="J41" l="1"/>
  <c r="J42" s="1"/>
  <c r="J44" s="1"/>
  <c r="I11" i="1" s="1"/>
  <c r="M41" i="4"/>
  <c r="M42" s="1"/>
  <c r="M44" s="1"/>
  <c r="L11" i="1" s="1"/>
  <c r="L41" i="4"/>
  <c r="I42"/>
  <c r="I44" s="1"/>
  <c r="H11" i="1" s="1"/>
  <c r="O40" i="4"/>
  <c r="K41"/>
  <c r="N22" i="8"/>
  <c r="M22"/>
  <c r="L22"/>
  <c r="N19"/>
  <c r="M19"/>
  <c r="L19"/>
  <c r="N16"/>
  <c r="M16"/>
  <c r="L16"/>
  <c r="N13"/>
  <c r="M13"/>
  <c r="L13"/>
  <c r="K26"/>
  <c r="J26"/>
  <c r="I26"/>
  <c r="H37" i="3"/>
  <c r="I18" i="1" s="1"/>
  <c r="G37" i="3"/>
  <c r="H18" i="1" s="1"/>
  <c r="E32" i="3"/>
  <c r="L33"/>
  <c r="K33"/>
  <c r="K37" s="1"/>
  <c r="L18" i="1" s="1"/>
  <c r="J33" i="3"/>
  <c r="J37" s="1"/>
  <c r="K18" i="1" s="1"/>
  <c r="I33" i="3"/>
  <c r="I37" s="1"/>
  <c r="H33"/>
  <c r="G33"/>
  <c r="M18" i="1"/>
  <c r="L37" i="3"/>
  <c r="N37" l="1"/>
  <c r="J18" i="1"/>
  <c r="X18" s="1"/>
  <c r="J27" i="8"/>
  <c r="J29" s="1"/>
  <c r="G6" i="1" s="1"/>
  <c r="I27" i="8"/>
  <c r="I29" s="1"/>
  <c r="L26"/>
  <c r="K27"/>
  <c r="K29" s="1"/>
  <c r="H6" i="1" s="1"/>
  <c r="O41" i="4"/>
  <c r="O42" s="1"/>
  <c r="L42"/>
  <c r="L44" s="1"/>
  <c r="K11" i="1" s="1"/>
  <c r="K42" i="4"/>
  <c r="K44" s="1"/>
  <c r="J11" i="1" s="1"/>
  <c r="M26" i="8"/>
  <c r="M27" s="1"/>
  <c r="E30" i="5"/>
  <c r="O44" i="4" l="1"/>
  <c r="X11" i="1"/>
  <c r="F6"/>
  <c r="L27" i="8"/>
  <c r="L29" s="1"/>
  <c r="I6" i="1" s="1"/>
  <c r="M29" i="8"/>
  <c r="J6" i="1" s="1"/>
  <c r="E24" i="8"/>
  <c r="N24" s="1"/>
  <c r="N26" s="1"/>
  <c r="E18" i="3"/>
  <c r="N27" i="8" l="1"/>
  <c r="N29" s="1"/>
  <c r="E26"/>
  <c r="E27" s="1"/>
  <c r="K6" i="1" l="1"/>
  <c r="P29" i="8"/>
  <c r="E29"/>
  <c r="E33" i="3"/>
  <c r="E34" s="1"/>
  <c r="E36" s="1"/>
  <c r="F32"/>
  <c r="F36" i="4"/>
  <c r="F34"/>
  <c r="F32"/>
  <c r="F30"/>
  <c r="F28"/>
  <c r="F26"/>
  <c r="F24"/>
  <c r="F22"/>
  <c r="F19"/>
  <c r="F17"/>
  <c r="F15"/>
  <c r="F13"/>
  <c r="F19" i="2"/>
  <c r="F18"/>
  <c r="AA21" i="5"/>
  <c r="AA18"/>
  <c r="H34"/>
  <c r="G34"/>
  <c r="AC36" i="8"/>
  <c r="AC35"/>
  <c r="E8" i="7"/>
  <c r="E60" s="1"/>
  <c r="E66" i="6"/>
  <c r="M63"/>
  <c r="M59"/>
  <c r="L59"/>
  <c r="M56"/>
  <c r="L56"/>
  <c r="M53"/>
  <c r="L53"/>
  <c r="M50"/>
  <c r="L50"/>
  <c r="M47"/>
  <c r="L47"/>
  <c r="M46"/>
  <c r="M45"/>
  <c r="M44"/>
  <c r="L44"/>
  <c r="M41"/>
  <c r="L41"/>
  <c r="M38"/>
  <c r="L38"/>
  <c r="L35"/>
  <c r="L31"/>
  <c r="L30"/>
  <c r="L29"/>
  <c r="L26"/>
  <c r="L25"/>
  <c r="M21"/>
  <c r="M20"/>
  <c r="L20"/>
  <c r="L17"/>
  <c r="M14"/>
  <c r="M11"/>
  <c r="M10"/>
  <c r="M9"/>
  <c r="L9"/>
  <c r="F40" i="4" l="1"/>
  <c r="X6" i="1"/>
  <c r="E62" i="7"/>
  <c r="E64"/>
  <c r="D20" i="1" s="1"/>
  <c r="C20"/>
  <c r="M66" i="6"/>
  <c r="L66"/>
  <c r="E67"/>
  <c r="E68" s="1"/>
  <c r="E31" i="8"/>
  <c r="E33" s="1"/>
  <c r="B6" i="1"/>
  <c r="F34" i="3"/>
  <c r="E38" s="1"/>
  <c r="E40" s="1"/>
  <c r="Y31" i="5"/>
  <c r="X31"/>
  <c r="Y28"/>
  <c r="X28"/>
  <c r="W28"/>
  <c r="Y27"/>
  <c r="X27"/>
  <c r="W27"/>
  <c r="V27"/>
  <c r="U27"/>
  <c r="V26"/>
  <c r="U26"/>
  <c r="T26"/>
  <c r="S26"/>
  <c r="R26"/>
  <c r="T25"/>
  <c r="S25"/>
  <c r="R25"/>
  <c r="Q25"/>
  <c r="P24"/>
  <c r="O24"/>
  <c r="E23"/>
  <c r="E20"/>
  <c r="N17"/>
  <c r="M17"/>
  <c r="L17"/>
  <c r="K17"/>
  <c r="N16"/>
  <c r="M16"/>
  <c r="L16"/>
  <c r="K16"/>
  <c r="N14"/>
  <c r="M14"/>
  <c r="L14"/>
  <c r="K14"/>
  <c r="J11"/>
  <c r="I11"/>
  <c r="J10"/>
  <c r="I10"/>
  <c r="J9"/>
  <c r="I9"/>
  <c r="E8"/>
  <c r="J34" l="1"/>
  <c r="G9" i="1" s="1"/>
  <c r="E20"/>
  <c r="L67" i="6"/>
  <c r="L68"/>
  <c r="L13" i="1" s="1"/>
  <c r="M68" i="6"/>
  <c r="M13" i="1" s="1"/>
  <c r="M67" i="6"/>
  <c r="B13" i="1"/>
  <c r="E70" i="6"/>
  <c r="C13" i="1" s="1"/>
  <c r="I34" i="5"/>
  <c r="AA9"/>
  <c r="AA14"/>
  <c r="AA11"/>
  <c r="AA24"/>
  <c r="AA28"/>
  <c r="AA31"/>
  <c r="AA27"/>
  <c r="AA10"/>
  <c r="AA16"/>
  <c r="AA17"/>
  <c r="AA25"/>
  <c r="AA26"/>
  <c r="F40" i="3"/>
  <c r="D6" i="1"/>
  <c r="F33" i="8"/>
  <c r="C6" i="1"/>
  <c r="F31" i="8"/>
  <c r="F38" i="3"/>
  <c r="B18" i="1"/>
  <c r="D18"/>
  <c r="C18"/>
  <c r="AC52" i="4"/>
  <c r="S52"/>
  <c r="AC51"/>
  <c r="X51"/>
  <c r="S51"/>
  <c r="N51"/>
  <c r="E11"/>
  <c r="E38" s="1"/>
  <c r="E6" i="1" l="1"/>
  <c r="G24"/>
  <c r="G22"/>
  <c r="X13"/>
  <c r="X20"/>
  <c r="E72" i="6"/>
  <c r="F9" i="1"/>
  <c r="F22" s="1"/>
  <c r="E18"/>
  <c r="E40" i="4"/>
  <c r="E21" i="2"/>
  <c r="G26" i="1" l="1"/>
  <c r="G27"/>
  <c r="F24"/>
  <c r="F23" i="2"/>
  <c r="D13" i="1"/>
  <c r="E13" s="1"/>
  <c r="F72" i="6"/>
  <c r="E41" i="4"/>
  <c r="E42" s="1"/>
  <c r="F26" i="1" l="1"/>
  <c r="F27"/>
  <c r="E46" i="4"/>
  <c r="F42"/>
  <c r="E48"/>
  <c r="E24" i="2"/>
  <c r="E25" s="1"/>
  <c r="E27" s="1"/>
  <c r="C11" i="1"/>
  <c r="F25" i="2" l="1"/>
  <c r="E44" i="4"/>
  <c r="B11" i="1" s="1"/>
  <c r="F24" i="2"/>
  <c r="D11" i="1"/>
  <c r="I24" i="2" l="1"/>
  <c r="I25" s="1"/>
  <c r="J24"/>
  <c r="J25" s="1"/>
  <c r="K15" i="1" s="1"/>
  <c r="K24" i="2"/>
  <c r="K25" s="1"/>
  <c r="L15" i="1" s="1"/>
  <c r="E29" i="2"/>
  <c r="E31" s="1"/>
  <c r="D15" i="1" s="1"/>
  <c r="E11"/>
  <c r="F48" i="4"/>
  <c r="J15" i="1" l="1"/>
  <c r="X15" s="1"/>
  <c r="K27" i="2"/>
  <c r="B15" i="1"/>
  <c r="E15" s="1"/>
  <c r="C15"/>
  <c r="E15" i="5"/>
  <c r="P15" s="1"/>
  <c r="P34" s="1"/>
  <c r="M9" i="1" s="1"/>
  <c r="M22" l="1"/>
  <c r="M24" s="1"/>
  <c r="F31" i="2"/>
  <c r="R15" i="5"/>
  <c r="R34" s="1"/>
  <c r="O9" i="1" s="1"/>
  <c r="N15" i="5"/>
  <c r="N34" s="1"/>
  <c r="K9" i="1" s="1"/>
  <c r="T15" i="5"/>
  <c r="T34" s="1"/>
  <c r="Q9" i="1" s="1"/>
  <c r="E13" i="5"/>
  <c r="E34" s="1"/>
  <c r="B9" i="1" s="1"/>
  <c r="B22" s="1"/>
  <c r="K15" i="5"/>
  <c r="K34" s="1"/>
  <c r="Y15"/>
  <c r="Y34" s="1"/>
  <c r="V9" i="1" s="1"/>
  <c r="W15" i="5"/>
  <c r="W34" s="1"/>
  <c r="T9" i="1" s="1"/>
  <c r="Q15" i="5"/>
  <c r="Q34" s="1"/>
  <c r="N9" i="1" s="1"/>
  <c r="V15" i="5"/>
  <c r="V34" s="1"/>
  <c r="S9" i="1" s="1"/>
  <c r="U15" i="5"/>
  <c r="U34" s="1"/>
  <c r="R9" i="1" s="1"/>
  <c r="S15" i="5"/>
  <c r="S34" s="1"/>
  <c r="P9" i="1" s="1"/>
  <c r="L15" i="5"/>
  <c r="L34" s="1"/>
  <c r="I9" i="1" s="1"/>
  <c r="M15" i="5"/>
  <c r="M34" s="1"/>
  <c r="J9" i="1" s="1"/>
  <c r="O15" i="5"/>
  <c r="O34" s="1"/>
  <c r="L9" i="1" s="1"/>
  <c r="X15" i="5"/>
  <c r="X34" s="1"/>
  <c r="U9" i="1" s="1"/>
  <c r="M26" l="1"/>
  <c r="M27"/>
  <c r="J22"/>
  <c r="J24" s="1"/>
  <c r="S22"/>
  <c r="S24" s="1"/>
  <c r="O22"/>
  <c r="O24" s="1"/>
  <c r="L22"/>
  <c r="L24" s="1"/>
  <c r="R24"/>
  <c r="R22"/>
  <c r="V22"/>
  <c r="V24" s="1"/>
  <c r="K22"/>
  <c r="K24" s="1"/>
  <c r="K26" s="1"/>
  <c r="U22"/>
  <c r="U24" s="1"/>
  <c r="P22"/>
  <c r="P24" s="1"/>
  <c r="T22"/>
  <c r="T24" s="1"/>
  <c r="Q24"/>
  <c r="Q26" s="1"/>
  <c r="Q22"/>
  <c r="I22"/>
  <c r="I24" s="1"/>
  <c r="N24"/>
  <c r="N26" s="1"/>
  <c r="N22"/>
  <c r="E36" i="5"/>
  <c r="E38" s="1"/>
  <c r="F38" s="1"/>
  <c r="R27" i="1"/>
  <c r="R26"/>
  <c r="C9"/>
  <c r="C22" s="1"/>
  <c r="D9"/>
  <c r="D22" s="1"/>
  <c r="AA34" i="5"/>
  <c r="H9" i="1"/>
  <c r="H22" s="1"/>
  <c r="AA15" i="5"/>
  <c r="P27" i="1" l="1"/>
  <c r="P26"/>
  <c r="O26"/>
  <c r="O27"/>
  <c r="N27"/>
  <c r="J27"/>
  <c r="J26"/>
  <c r="K27"/>
  <c r="U26"/>
  <c r="U27"/>
  <c r="V26"/>
  <c r="V27"/>
  <c r="I26"/>
  <c r="I27"/>
  <c r="L26"/>
  <c r="L27"/>
  <c r="T26"/>
  <c r="T27"/>
  <c r="S26"/>
  <c r="S27"/>
  <c r="Q27"/>
  <c r="X9"/>
  <c r="E22"/>
  <c r="E9"/>
  <c r="H24" l="1"/>
  <c r="X22"/>
  <c r="H27" l="1"/>
  <c r="X27" s="1"/>
  <c r="H26"/>
  <c r="X26" s="1"/>
  <c r="X24"/>
</calcChain>
</file>

<file path=xl/sharedStrings.xml><?xml version="1.0" encoding="utf-8"?>
<sst xmlns="http://schemas.openxmlformats.org/spreadsheetml/2006/main" count="685" uniqueCount="210">
  <si>
    <t>FY 2011 TPB TIGER Grant Application - Cost and Schedule</t>
  </si>
  <si>
    <t>Activity</t>
  </si>
  <si>
    <t>Lead Agency</t>
  </si>
  <si>
    <t>Workforce</t>
  </si>
  <si>
    <t>Budget</t>
  </si>
  <si>
    <t>Funding Source</t>
  </si>
  <si>
    <t>Project</t>
  </si>
  <si>
    <t>County</t>
  </si>
  <si>
    <t>Contractor</t>
  </si>
  <si>
    <t>Design</t>
  </si>
  <si>
    <t>FY 2013</t>
  </si>
  <si>
    <t>FY 2014</t>
  </si>
  <si>
    <t>FY 2015</t>
  </si>
  <si>
    <t>Total TIGER Funds</t>
  </si>
  <si>
    <t>Total Other Funds</t>
  </si>
  <si>
    <t>1Q</t>
  </si>
  <si>
    <t>2Q</t>
  </si>
  <si>
    <t>3Q</t>
  </si>
  <si>
    <t>4Q</t>
  </si>
  <si>
    <t>FY 2016</t>
  </si>
  <si>
    <t>FY 2017</t>
  </si>
  <si>
    <t>TOTAL Project Implementation Cost</t>
  </si>
  <si>
    <t>1. Planning, Design &amp; Engineering</t>
  </si>
  <si>
    <t>FY 2012</t>
  </si>
  <si>
    <t>Ager Road Green Road Project - Project Start Date - January 2012</t>
  </si>
  <si>
    <t>TIGER 80%</t>
  </si>
  <si>
    <t>Construction  - Start Date - September 2013</t>
  </si>
  <si>
    <t>Construction</t>
  </si>
  <si>
    <t>Consultant</t>
  </si>
  <si>
    <t>West Hyattsville Access Improvments - Project Start Date - January 2012</t>
  </si>
  <si>
    <t>West Hyattsville Project Access Improvements</t>
  </si>
  <si>
    <t>Jamestown Road Sidewalk Construction</t>
  </si>
  <si>
    <t>WMATA Secure Bike Station</t>
  </si>
  <si>
    <t>Jamestown Road Sidewalk Design</t>
  </si>
  <si>
    <t>(note: Design costs are not a part of Tiger request)</t>
  </si>
  <si>
    <t>Combined Pentagon / Pentagon City / Crystal City Access Improvement Project</t>
  </si>
  <si>
    <t>1. Planning</t>
  </si>
  <si>
    <t>Army Navy Drive</t>
  </si>
  <si>
    <t>Planning</t>
  </si>
  <si>
    <t>30% design</t>
  </si>
  <si>
    <t>FHWA</t>
  </si>
  <si>
    <t>Finished as of FY 2011.</t>
  </si>
  <si>
    <t>100% design and site coordination</t>
  </si>
  <si>
    <t>Arlington</t>
  </si>
  <si>
    <t>Completed mid-FY2013</t>
  </si>
  <si>
    <t>Bikesharing 5 initial stations</t>
  </si>
  <si>
    <t>Plan station locations</t>
  </si>
  <si>
    <t>To be completed FY2012</t>
  </si>
  <si>
    <t>Obtain environmental clearance</t>
  </si>
  <si>
    <t>Bikesharing 5 additional stations</t>
  </si>
  <si>
    <t>2. Implementation</t>
  </si>
  <si>
    <t>Army Navy Drive Construction</t>
  </si>
  <si>
    <t>Arlington portion</t>
  </si>
  <si>
    <t>TIGER portion</t>
  </si>
  <si>
    <t>TIGER</t>
  </si>
  <si>
    <t>Procurement</t>
  </si>
  <si>
    <t>Installation</t>
  </si>
  <si>
    <t>New Carrollton Safety Measures for the New Carrollton Metro Station</t>
  </si>
  <si>
    <t>1. Final Design &amp; Engineering</t>
  </si>
  <si>
    <t>Complete Final Design</t>
  </si>
  <si>
    <t xml:space="preserve">2. Construct Pedestrian Crossings </t>
  </si>
  <si>
    <t>2.1 Sign Installation on Garden City Drive near Metro Staton Entrance</t>
  </si>
  <si>
    <t>2.2 Bike facility improvements for 85th Avenue from Annapolis Road to Harkins Road</t>
  </si>
  <si>
    <t>2.3 Extend the West median for better pedestrian refuge on Harkins Road at West Lanham Drive</t>
  </si>
  <si>
    <t>2.4 Install six new lights along roadway for Ellin Road</t>
  </si>
  <si>
    <t xml:space="preserve">2.5 Upgrade existing geometry and signal to the latest ADA standards for pedestrian and overall safety </t>
  </si>
  <si>
    <t xml:space="preserve"> at Garden City Drive at Corporate Place</t>
  </si>
  <si>
    <t xml:space="preserve">2.6   Install pedestrian walkway on Ellin Road From Veterans Parkway to Emerson Place </t>
  </si>
  <si>
    <t>2.7  Install pedestrian walkway on east side Garden City Drive</t>
  </si>
  <si>
    <t>2.8  Provide trash receptacles (WMATA)</t>
  </si>
  <si>
    <t>Quantity 10</t>
  </si>
  <si>
    <t>2.9 Provide 10 benches (WMATA</t>
  </si>
  <si>
    <t xml:space="preserve"> </t>
  </si>
  <si>
    <t>3.0  Consolidate Bus Stops on Annapolis Road (WMATA)</t>
  </si>
  <si>
    <t>3.1  Move bus Stop closer to intersection of Annapolis Road and 85th Ave</t>
  </si>
  <si>
    <t>3.2 Move Bus Stop close to Intersection of Annapolis Road and Riverdale Road</t>
  </si>
  <si>
    <t>Forest Glen Pedestrian Passageway</t>
  </si>
  <si>
    <t xml:space="preserve">Forest Glen Pedestrian Passageway under </t>
  </si>
  <si>
    <t>Georgia Avenue</t>
  </si>
  <si>
    <t>Management and Review (Mont. County)</t>
  </si>
  <si>
    <t>Agency (SHA and WMATA) Review</t>
  </si>
  <si>
    <t>Planning/NEPA Documentation</t>
  </si>
  <si>
    <t>2. Final Design and Engineering</t>
  </si>
  <si>
    <t xml:space="preserve">Design </t>
  </si>
  <si>
    <t>Final design and engineering for project</t>
  </si>
  <si>
    <t>Construction Management and Inspection (Mont. County)</t>
  </si>
  <si>
    <t>3. Land Acquisition</t>
  </si>
  <si>
    <t>Acquisition</t>
  </si>
  <si>
    <t>Acquire required Right-of-Way, Easements</t>
  </si>
  <si>
    <t>4. Construct Pedestrian Passageway</t>
  </si>
  <si>
    <t>Utility Relocation</t>
  </si>
  <si>
    <t>Install Support of Excavation</t>
  </si>
  <si>
    <t>Excavate and Install Temporary Bridge</t>
  </si>
  <si>
    <t>Construct Ped. Passageway and Station Tie-In</t>
  </si>
  <si>
    <t>Conduct Roadway Restoration</t>
  </si>
  <si>
    <t>5. Bike Share Stations</t>
  </si>
  <si>
    <t>Construct Bike Share Stations</t>
  </si>
  <si>
    <t>Management and Administration  (MWCOG)</t>
  </si>
  <si>
    <t>Project (By Study Corridor)</t>
  </si>
  <si>
    <t>Existing/ New Infrastructure</t>
  </si>
  <si>
    <t xml:space="preserve"> Twinbrook Station Pedestrian Improvements</t>
  </si>
  <si>
    <t>1. Construction - Improvements on/near Halpine Road</t>
  </si>
  <si>
    <t>Halpine / E. Jefferson</t>
  </si>
  <si>
    <t>Raised Intersection</t>
  </si>
  <si>
    <t>Rockville</t>
  </si>
  <si>
    <t>New</t>
  </si>
  <si>
    <t>High Visibility Crosswalk</t>
  </si>
  <si>
    <t>Modify Existing</t>
  </si>
  <si>
    <t>Advanced Stop Bar Realignment</t>
  </si>
  <si>
    <t>Halpine / Congressional Shopping Center Driveway</t>
  </si>
  <si>
    <t>Halpine / Rockville Pike</t>
  </si>
  <si>
    <t>SHA</t>
  </si>
  <si>
    <t>Halpine / Chapman</t>
  </si>
  <si>
    <t>Curb Extensions</t>
  </si>
  <si>
    <t>2. Construction - Improvements on/near Lewis Avenue</t>
  </si>
  <si>
    <t>Lewis / Rockland</t>
  </si>
  <si>
    <t>Lewis / Halpine</t>
  </si>
  <si>
    <t>Construct Sidewalk on south side of Halpine</t>
  </si>
  <si>
    <t>Wayfinding Signs to Metrorail</t>
  </si>
  <si>
    <t>4. Construction - Improvements near Rockville Pike and Chapman Avenue</t>
  </si>
  <si>
    <t>Chapman - mid block</t>
  </si>
  <si>
    <t>Construct Curb Extensions</t>
  </si>
  <si>
    <t>Chapman / Bouic</t>
  </si>
  <si>
    <t xml:space="preserve">Chapman / Thompson </t>
  </si>
  <si>
    <t>Chapman / Twinbrook</t>
  </si>
  <si>
    <t>Elimination of EB Twinbrook " Hot Right"</t>
  </si>
  <si>
    <t>Addition of New Pedestrian Crossing Signals on East side</t>
  </si>
  <si>
    <t xml:space="preserve">Rockville Pike / Bouic </t>
  </si>
  <si>
    <t>Construct Curb Extensions on Bouic</t>
  </si>
  <si>
    <t>Rockville Pike / Thompson</t>
  </si>
  <si>
    <t>Construct Curb Extensions on Thompson</t>
  </si>
  <si>
    <t>Rockville Pike / Twinbrook</t>
  </si>
  <si>
    <t xml:space="preserve">Rockville Pike / Bou </t>
  </si>
  <si>
    <t>5. Construction - Improvements on Rockville Pike, north of Twinbrook Station</t>
  </si>
  <si>
    <t>Rockville Pike / Congressional Lane</t>
  </si>
  <si>
    <t>VRE Bike Lockers</t>
  </si>
  <si>
    <t>1. Install Bike Lockers</t>
  </si>
  <si>
    <t>Install bike lockers at eight (8) locations</t>
  </si>
  <si>
    <t>Broad Run</t>
  </si>
  <si>
    <t>Purchase lockers</t>
  </si>
  <si>
    <t>Procure</t>
  </si>
  <si>
    <t>VRE</t>
  </si>
  <si>
    <t>Manufacturer</t>
  </si>
  <si>
    <t>Prepare site</t>
  </si>
  <si>
    <t>Construct</t>
  </si>
  <si>
    <t>Install</t>
  </si>
  <si>
    <t>Permits, Inspection, Administration</t>
  </si>
  <si>
    <t>Rippon</t>
  </si>
  <si>
    <t>Woodbridge</t>
  </si>
  <si>
    <t>Manassas</t>
  </si>
  <si>
    <t>Manassas Park</t>
  </si>
  <si>
    <t>Rolling Rd.</t>
  </si>
  <si>
    <t>VRE/Fairfax Co.</t>
  </si>
  <si>
    <t>Lorton</t>
  </si>
  <si>
    <t>Franconia-Springfield</t>
  </si>
  <si>
    <t>Purchase lockers + bike racks</t>
  </si>
  <si>
    <t>CY 2016</t>
  </si>
  <si>
    <t>Fort Totten Station Access</t>
  </si>
  <si>
    <t>DDOT</t>
  </si>
  <si>
    <t xml:space="preserve">Complete final design (30% to 100%) and engineering for project. </t>
  </si>
  <si>
    <t>2. Construction</t>
  </si>
  <si>
    <t>2.1  1st Place NE Section</t>
  </si>
  <si>
    <t>Excavaton, Milling, grading, curb and gutter, asphalt, pavement markings, catch basins, street lights</t>
  </si>
  <si>
    <t>2.2 WMATA  property Section</t>
  </si>
  <si>
    <t>Excavaton, Milling, grading, curb and gutter, asphalt, pavement markings, catch basins, street lights, rain garden</t>
  </si>
  <si>
    <t>2.3 Pedestrian Plaza</t>
  </si>
  <si>
    <t>Pavers, secure bike parking, landscape</t>
  </si>
  <si>
    <t>2.4 Galloway Street NE Section</t>
  </si>
  <si>
    <t>Excavaton, Milling, grading, curb and gutter, asphalt, pavement markings, retaining wall</t>
  </si>
  <si>
    <t>FY2012</t>
  </si>
  <si>
    <t>Total Budget</t>
  </si>
  <si>
    <t>Local</t>
  </si>
  <si>
    <t>COG PM Costs (3.5%)</t>
  </si>
  <si>
    <t>Plus COG PM Costs (3.5%)</t>
  </si>
  <si>
    <t>Match</t>
  </si>
  <si>
    <t>COG PM Costs</t>
  </si>
  <si>
    <t>TOTAL Project Construction Costs</t>
  </si>
  <si>
    <t>Total TIGER request</t>
  </si>
  <si>
    <t>Total Construction Costs (inc COG PM)</t>
  </si>
  <si>
    <t>COG PM (3.5%) of construction</t>
  </si>
  <si>
    <t>TOTAL</t>
  </si>
  <si>
    <t>Total Construction Costs</t>
  </si>
  <si>
    <t>Overall</t>
  </si>
  <si>
    <t>Total TIGER Funds (%)</t>
  </si>
  <si>
    <t>Total Other Funds (% match)</t>
  </si>
  <si>
    <t>Local (% match)</t>
  </si>
  <si>
    <t>Project Implementation Cost</t>
  </si>
  <si>
    <t>NOT FUNDED BY TIGER - Included in Local Matching</t>
  </si>
  <si>
    <t>Total Planning Costs - all Local</t>
  </si>
  <si>
    <t>Project Construction Costs</t>
  </si>
  <si>
    <t>Total Construction Costs (not rounded)</t>
  </si>
  <si>
    <t>Included in TIGER Request</t>
  </si>
  <si>
    <t xml:space="preserve"> Project Implementation Cost</t>
  </si>
  <si>
    <t xml:space="preserve"> Construction Costs</t>
  </si>
  <si>
    <t>CY 2013</t>
  </si>
  <si>
    <t>FY 2011 TPB TIGER Grant Application - Cost and Schedule - West Hyattsville ONLY Project</t>
  </si>
  <si>
    <t>Jobs Created/Retained</t>
  </si>
  <si>
    <t>Direct, On-Project Jobs</t>
  </si>
  <si>
    <t>Induced Jobs</t>
  </si>
  <si>
    <t>District Of Columbia</t>
  </si>
  <si>
    <t>Maryland</t>
  </si>
  <si>
    <t>Virginia</t>
  </si>
  <si>
    <t>Fort Totten / 1st Place-Galloway Road Access Improvement Project</t>
  </si>
  <si>
    <t>Forest Glen Metrorail Access Project</t>
  </si>
  <si>
    <t>Pedestrian Safety Measures for the New Carrollton Metrorail Station</t>
  </si>
  <si>
    <t>Twinbrook Metro Station: Pedestrian Safety Improvements</t>
  </si>
  <si>
    <t>West Hyattsville Metrorail Station Access Improvements</t>
  </si>
  <si>
    <t>Arlington Army Navy Drive Multimodal Access Improvement Project</t>
  </si>
  <si>
    <t>Bicycle Lockers at VRE Stations</t>
  </si>
  <si>
    <t>TOTALS</t>
  </si>
</sst>
</file>

<file path=xl/styles.xml><?xml version="1.0" encoding="utf-8"?>
<styleSheet xmlns="http://schemas.openxmlformats.org/spreadsheetml/2006/main">
  <numFmts count="12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&quot;$&quot;#,##0"/>
    <numFmt numFmtId="166" formatCode="&quot;$&quot;#,##0.00"/>
    <numFmt numFmtId="167" formatCode="&quot;$&quot;#,##0.0"/>
    <numFmt numFmtId="168" formatCode="_(&quot;$&quot;* #,##0.0_);_(&quot;$&quot;* \(#,##0.0\);_(&quot;$&quot;* &quot;-&quot;?_);_(@_)"/>
    <numFmt numFmtId="169" formatCode="0.0%"/>
    <numFmt numFmtId="170" formatCode="_(&quot;$&quot;* #,##0_);_(&quot;$&quot;* \(#,##0\);_(&quot;$&quot;* &quot;-&quot;?_);_(@_)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name val="Arial"/>
      <family val="2"/>
    </font>
    <font>
      <sz val="16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1"/>
      <color indexed="8"/>
      <name val="Calibri"/>
      <family val="2"/>
    </font>
    <font>
      <i/>
      <sz val="11"/>
      <color indexed="8"/>
      <name val="Calibri"/>
      <family val="2"/>
    </font>
    <font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slantDashDot">
        <color auto="1"/>
      </left>
      <right/>
      <top/>
      <bottom/>
      <diagonal/>
    </border>
    <border>
      <left style="slantDashDot">
        <color auto="1"/>
      </left>
      <right/>
      <top style="thin">
        <color indexed="64"/>
      </top>
      <bottom style="double">
        <color indexed="64"/>
      </bottom>
      <diagonal/>
    </border>
    <border>
      <left/>
      <right style="slantDashDot">
        <color auto="1"/>
      </right>
      <top/>
      <bottom/>
      <diagonal/>
    </border>
    <border>
      <left/>
      <right/>
      <top style="double">
        <color indexed="64"/>
      </top>
      <bottom/>
      <diagonal/>
    </border>
    <border>
      <left style="slantDashDot">
        <color indexed="64"/>
      </left>
      <right/>
      <top/>
      <bottom style="thin">
        <color indexed="64"/>
      </bottom>
      <diagonal/>
    </border>
    <border>
      <left/>
      <right style="slantDashDot">
        <color auto="1"/>
      </right>
      <top style="thin">
        <color indexed="64"/>
      </top>
      <bottom style="double">
        <color indexed="64"/>
      </bottom>
      <diagonal/>
    </border>
    <border>
      <left/>
      <right style="slantDashDot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slantDashDot">
        <color auto="1"/>
      </right>
      <top/>
      <bottom style="thin">
        <color indexed="64"/>
      </bottom>
      <diagonal/>
    </border>
    <border>
      <left/>
      <right style="slantDashDot">
        <color auto="1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slantDashDot">
        <color auto="1"/>
      </left>
      <right/>
      <top/>
      <bottom style="dotted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29">
    <xf numFmtId="0" fontId="0" fillId="0" borderId="0" xfId="0"/>
    <xf numFmtId="0" fontId="0" fillId="2" borderId="1" xfId="0" applyFill="1" applyBorder="1"/>
    <xf numFmtId="0" fontId="3" fillId="2" borderId="1" xfId="0" applyFont="1" applyFill="1" applyBorder="1"/>
    <xf numFmtId="0" fontId="0" fillId="0" borderId="0" xfId="0" applyBorder="1"/>
    <xf numFmtId="0" fontId="4" fillId="0" borderId="0" xfId="0" applyFont="1" applyBorder="1"/>
    <xf numFmtId="164" fontId="0" fillId="2" borderId="1" xfId="1" applyNumberFormat="1" applyFont="1" applyFill="1" applyBorder="1"/>
    <xf numFmtId="0" fontId="0" fillId="0" borderId="2" xfId="0" applyBorder="1"/>
    <xf numFmtId="0" fontId="0" fillId="2" borderId="3" xfId="0" applyFill="1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1" xfId="0" applyFont="1" applyFill="1" applyBorder="1"/>
    <xf numFmtId="0" fontId="0" fillId="0" borderId="0" xfId="0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2" xfId="0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horizontal="left" indent="1"/>
    </xf>
    <xf numFmtId="165" fontId="0" fillId="0" borderId="0" xfId="0" applyNumberFormat="1"/>
    <xf numFmtId="0" fontId="0" fillId="0" borderId="0" xfId="0" applyFill="1" applyAlignment="1">
      <alignment horizontal="left" indent="1"/>
    </xf>
    <xf numFmtId="164" fontId="0" fillId="0" borderId="0" xfId="0" applyNumberFormat="1" applyFill="1"/>
    <xf numFmtId="0" fontId="5" fillId="0" borderId="0" xfId="0" applyFont="1"/>
    <xf numFmtId="0" fontId="6" fillId="0" borderId="0" xfId="0" applyFont="1"/>
    <xf numFmtId="0" fontId="6" fillId="0" borderId="2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2" borderId="1" xfId="0" applyFont="1" applyFill="1" applyBorder="1"/>
    <xf numFmtId="0" fontId="6" fillId="2" borderId="3" xfId="0" applyFont="1" applyFill="1" applyBorder="1"/>
    <xf numFmtId="0" fontId="6" fillId="2" borderId="1" xfId="0" applyFont="1" applyFill="1" applyBorder="1"/>
    <xf numFmtId="0" fontId="6" fillId="0" borderId="2" xfId="0" applyFont="1" applyBorder="1"/>
    <xf numFmtId="0" fontId="6" fillId="0" borderId="0" xfId="0" applyFont="1" applyBorder="1"/>
    <xf numFmtId="0" fontId="8" fillId="2" borderId="1" xfId="0" applyFont="1" applyFill="1" applyBorder="1"/>
    <xf numFmtId="164" fontId="6" fillId="2" borderId="1" xfId="1" applyNumberFormat="1" applyFont="1" applyFill="1" applyBorder="1"/>
    <xf numFmtId="0" fontId="6" fillId="2" borderId="1" xfId="0" applyFont="1" applyFill="1" applyBorder="1" applyAlignment="1">
      <alignment horizontal="center"/>
    </xf>
    <xf numFmtId="165" fontId="6" fillId="0" borderId="0" xfId="0" applyNumberFormat="1" applyFont="1" applyAlignment="1">
      <alignment horizontal="center"/>
    </xf>
    <xf numFmtId="165" fontId="6" fillId="0" borderId="2" xfId="0" applyNumberFormat="1" applyFont="1" applyFill="1" applyBorder="1"/>
    <xf numFmtId="165" fontId="6" fillId="0" borderId="0" xfId="0" applyNumberFormat="1" applyFont="1" applyFill="1"/>
    <xf numFmtId="165" fontId="6" fillId="0" borderId="2" xfId="0" applyNumberFormat="1" applyFont="1" applyBorder="1"/>
    <xf numFmtId="165" fontId="6" fillId="0" borderId="0" xfId="0" applyNumberFormat="1" applyFont="1"/>
    <xf numFmtId="0" fontId="6" fillId="0" borderId="0" xfId="0" applyFont="1" applyFill="1" applyBorder="1"/>
    <xf numFmtId="0" fontId="6" fillId="0" borderId="0" xfId="0" applyFont="1" applyFill="1"/>
    <xf numFmtId="0" fontId="6" fillId="0" borderId="2" xfId="0" applyFont="1" applyFill="1" applyBorder="1"/>
    <xf numFmtId="0" fontId="6" fillId="4" borderId="1" xfId="0" applyFont="1" applyFill="1" applyBorder="1"/>
    <xf numFmtId="0" fontId="6" fillId="4" borderId="3" xfId="0" applyFont="1" applyFill="1" applyBorder="1"/>
    <xf numFmtId="4" fontId="6" fillId="0" borderId="2" xfId="0" applyNumberFormat="1" applyFont="1" applyBorder="1"/>
    <xf numFmtId="4" fontId="6" fillId="0" borderId="0" xfId="0" applyNumberFormat="1" applyFont="1" applyFill="1" applyBorder="1"/>
    <xf numFmtId="4" fontId="6" fillId="0" borderId="0" xfId="0" applyNumberFormat="1" applyFont="1" applyFill="1"/>
    <xf numFmtId="4" fontId="6" fillId="0" borderId="2" xfId="0" applyNumberFormat="1" applyFont="1" applyFill="1" applyBorder="1"/>
    <xf numFmtId="0" fontId="9" fillId="0" borderId="0" xfId="0" applyFont="1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/>
    <xf numFmtId="6" fontId="0" fillId="0" borderId="0" xfId="0" applyNumberFormat="1" applyFill="1"/>
    <xf numFmtId="6" fontId="0" fillId="0" borderId="2" xfId="0" applyNumberFormat="1" applyFill="1" applyBorder="1"/>
    <xf numFmtId="6" fontId="0" fillId="0" borderId="0" xfId="0" applyNumberFormat="1" applyFill="1" applyBorder="1"/>
    <xf numFmtId="0" fontId="3" fillId="0" borderId="0" xfId="0" applyFont="1" applyFill="1" applyBorder="1" applyAlignment="1">
      <alignment horizontal="left"/>
    </xf>
    <xf numFmtId="0" fontId="3" fillId="0" borderId="0" xfId="0" applyFont="1" applyFill="1" applyAlignment="1">
      <alignment horizontal="left" indent="1"/>
    </xf>
    <xf numFmtId="0" fontId="3" fillId="0" borderId="2" xfId="0" applyFont="1" applyFill="1" applyBorder="1" applyAlignment="1">
      <alignment horizontal="left" indent="1"/>
    </xf>
    <xf numFmtId="3" fontId="10" fillId="5" borderId="2" xfId="0" applyNumberFormat="1" applyFont="1" applyFill="1" applyBorder="1"/>
    <xf numFmtId="3" fontId="0" fillId="5" borderId="0" xfId="0" applyNumberFormat="1" applyFill="1" applyBorder="1"/>
    <xf numFmtId="0" fontId="10" fillId="0" borderId="0" xfId="0" applyFont="1"/>
    <xf numFmtId="6" fontId="0" fillId="0" borderId="0" xfId="0" applyNumberFormat="1"/>
    <xf numFmtId="0" fontId="0" fillId="0" borderId="0" xfId="0" applyFont="1" applyFill="1" applyBorder="1"/>
    <xf numFmtId="164" fontId="0" fillId="0" borderId="0" xfId="1" applyNumberFormat="1" applyFont="1" applyFill="1" applyBorder="1"/>
    <xf numFmtId="165" fontId="0" fillId="0" borderId="2" xfId="0" applyNumberFormat="1" applyFill="1" applyBorder="1"/>
    <xf numFmtId="165" fontId="0" fillId="0" borderId="5" xfId="0" applyNumberFormat="1" applyFill="1" applyBorder="1"/>
    <xf numFmtId="165" fontId="0" fillId="0" borderId="0" xfId="0" applyNumberFormat="1" applyFill="1"/>
    <xf numFmtId="165" fontId="0" fillId="0" borderId="0" xfId="0" applyNumberFormat="1" applyFill="1" applyBorder="1"/>
    <xf numFmtId="0" fontId="0" fillId="0" borderId="0" xfId="0" applyFill="1" applyBorder="1" applyAlignment="1">
      <alignment horizontal="center"/>
    </xf>
    <xf numFmtId="0" fontId="0" fillId="0" borderId="6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11" fillId="0" borderId="0" xfId="0" applyFont="1"/>
    <xf numFmtId="0" fontId="11" fillId="6" borderId="1" xfId="0" applyFont="1" applyFill="1" applyBorder="1"/>
    <xf numFmtId="0" fontId="0" fillId="6" borderId="3" xfId="0" applyFill="1" applyBorder="1"/>
    <xf numFmtId="0" fontId="0" fillId="6" borderId="1" xfId="0" applyFill="1" applyBorder="1"/>
    <xf numFmtId="0" fontId="12" fillId="6" borderId="1" xfId="0" applyFont="1" applyFill="1" applyBorder="1"/>
    <xf numFmtId="164" fontId="0" fillId="6" borderId="1" xfId="1" applyNumberFormat="1" applyFont="1" applyFill="1" applyBorder="1"/>
    <xf numFmtId="0" fontId="12" fillId="0" borderId="0" xfId="0" applyFont="1" applyFill="1" applyBorder="1"/>
    <xf numFmtId="0" fontId="2" fillId="2" borderId="1" xfId="0" applyFont="1" applyFill="1" applyBorder="1" applyAlignment="1">
      <alignment wrapText="1"/>
    </xf>
    <xf numFmtId="166" fontId="0" fillId="0" borderId="2" xfId="0" applyNumberFormat="1" applyBorder="1"/>
    <xf numFmtId="166" fontId="0" fillId="0" borderId="0" xfId="0" applyNumberFormat="1" applyBorder="1"/>
    <xf numFmtId="166" fontId="0" fillId="0" borderId="0" xfId="0" applyNumberFormat="1"/>
    <xf numFmtId="166" fontId="0" fillId="2" borderId="3" xfId="0" applyNumberFormat="1" applyFill="1" applyBorder="1"/>
    <xf numFmtId="166" fontId="0" fillId="2" borderId="1" xfId="0" applyNumberFormat="1" applyFill="1" applyBorder="1"/>
    <xf numFmtId="166" fontId="0" fillId="0" borderId="2" xfId="0" applyNumberFormat="1" applyFill="1" applyBorder="1"/>
    <xf numFmtId="166" fontId="0" fillId="0" borderId="0" xfId="0" applyNumberFormat="1" applyFill="1" applyBorder="1"/>
    <xf numFmtId="166" fontId="0" fillId="0" borderId="0" xfId="0" applyNumberFormat="1" applyFill="1"/>
    <xf numFmtId="0" fontId="3" fillId="0" borderId="0" xfId="0" applyFont="1" applyFill="1" applyBorder="1" applyAlignment="1">
      <alignment horizontal="left" indent="2"/>
    </xf>
    <xf numFmtId="166" fontId="10" fillId="0" borderId="2" xfId="0" applyNumberFormat="1" applyFont="1" applyFill="1" applyBorder="1"/>
    <xf numFmtId="166" fontId="10" fillId="0" borderId="0" xfId="0" applyNumberFormat="1" applyFont="1" applyFill="1" applyBorder="1"/>
    <xf numFmtId="166" fontId="10" fillId="0" borderId="0" xfId="0" applyNumberFormat="1" applyFont="1" applyFill="1"/>
    <xf numFmtId="165" fontId="0" fillId="2" borderId="1" xfId="1" applyNumberFormat="1" applyFont="1" applyFill="1" applyBorder="1"/>
    <xf numFmtId="166" fontId="0" fillId="0" borderId="3" xfId="0" applyNumberFormat="1" applyFill="1" applyBorder="1"/>
    <xf numFmtId="166" fontId="0" fillId="0" borderId="1" xfId="0" applyNumberFormat="1" applyFill="1" applyBorder="1"/>
    <xf numFmtId="166" fontId="0" fillId="0" borderId="7" xfId="0" applyNumberFormat="1" applyFill="1" applyBorder="1"/>
    <xf numFmtId="166" fontId="0" fillId="2" borderId="7" xfId="0" applyNumberFormat="1" applyFill="1" applyBorder="1"/>
    <xf numFmtId="0" fontId="0" fillId="0" borderId="4" xfId="0" applyBorder="1"/>
    <xf numFmtId="166" fontId="0" fillId="0" borderId="4" xfId="0" applyNumberFormat="1" applyFill="1" applyBorder="1"/>
    <xf numFmtId="166" fontId="0" fillId="0" borderId="4" xfId="0" applyNumberFormat="1" applyBorder="1"/>
    <xf numFmtId="165" fontId="0" fillId="0" borderId="0" xfId="0" applyNumberFormat="1" applyBorder="1"/>
    <xf numFmtId="167" fontId="0" fillId="0" borderId="0" xfId="0" applyNumberFormat="1"/>
    <xf numFmtId="0" fontId="0" fillId="0" borderId="0" xfId="0" applyFont="1" applyFill="1" applyBorder="1" applyAlignment="1">
      <alignment horizontal="left" indent="2"/>
    </xf>
    <xf numFmtId="0" fontId="0" fillId="0" borderId="0" xfId="0" applyFont="1" applyFill="1" applyBorder="1" applyAlignment="1">
      <alignment horizontal="left"/>
    </xf>
    <xf numFmtId="164" fontId="1" fillId="6" borderId="1" xfId="1" applyNumberFormat="1" applyFont="1" applyFill="1" applyBorder="1"/>
    <xf numFmtId="0" fontId="12" fillId="0" borderId="0" xfId="0" applyFont="1" applyFill="1" applyBorder="1" applyAlignment="1">
      <alignment horizontal="left"/>
    </xf>
    <xf numFmtId="0" fontId="3" fillId="0" borderId="0" xfId="0" applyFont="1" applyAlignment="1">
      <alignment horizontal="left" indent="1"/>
    </xf>
    <xf numFmtId="42" fontId="1" fillId="0" borderId="0" xfId="1" applyNumberFormat="1" applyFont="1" applyFill="1"/>
    <xf numFmtId="0" fontId="12" fillId="0" borderId="0" xfId="0" applyFont="1" applyFill="1" applyBorder="1" applyAlignment="1">
      <alignment horizontal="left" indent="1"/>
    </xf>
    <xf numFmtId="0" fontId="0" fillId="0" borderId="0" xfId="0" applyAlignment="1">
      <alignment horizontal="left" inden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3" xfId="0" applyFont="1" applyFill="1" applyBorder="1"/>
    <xf numFmtId="0" fontId="0" fillId="0" borderId="2" xfId="0" applyFill="1" applyBorder="1" applyAlignment="1">
      <alignment horizontal="center"/>
    </xf>
    <xf numFmtId="168" fontId="0" fillId="0" borderId="0" xfId="0" applyNumberFormat="1"/>
    <xf numFmtId="169" fontId="0" fillId="0" borderId="0" xfId="2" applyNumberFormat="1" applyFont="1"/>
    <xf numFmtId="10" fontId="0" fillId="0" borderId="0" xfId="2" applyNumberFormat="1" applyFont="1"/>
    <xf numFmtId="8" fontId="13" fillId="0" borderId="0" xfId="0" applyNumberFormat="1" applyFont="1"/>
    <xf numFmtId="0" fontId="3" fillId="7" borderId="0" xfId="0" applyFont="1" applyFill="1"/>
    <xf numFmtId="6" fontId="0" fillId="7" borderId="0" xfId="0" applyNumberFormat="1" applyFill="1"/>
    <xf numFmtId="0" fontId="0" fillId="7" borderId="0" xfId="0" applyFill="1" applyAlignment="1">
      <alignment horizontal="center"/>
    </xf>
    <xf numFmtId="0" fontId="0" fillId="7" borderId="2" xfId="0" applyFill="1" applyBorder="1"/>
    <xf numFmtId="0" fontId="0" fillId="7" borderId="0" xfId="0" applyFill="1" applyBorder="1"/>
    <xf numFmtId="0" fontId="14" fillId="0" borderId="0" xfId="0" applyFont="1" applyFill="1" applyBorder="1" applyAlignment="1">
      <alignment horizontal="left"/>
    </xf>
    <xf numFmtId="164" fontId="2" fillId="2" borderId="1" xfId="1" applyNumberFormat="1" applyFont="1" applyFill="1" applyBorder="1" applyAlignment="1">
      <alignment horizontal="center"/>
    </xf>
    <xf numFmtId="9" fontId="0" fillId="0" borderId="0" xfId="2" applyFont="1"/>
    <xf numFmtId="0" fontId="4" fillId="0" borderId="0" xfId="0" applyFont="1" applyFill="1" applyBorder="1"/>
    <xf numFmtId="0" fontId="0" fillId="0" borderId="0" xfId="0" applyFill="1" applyBorder="1" applyAlignment="1">
      <alignment horizontal="left" wrapText="1" indent="2"/>
    </xf>
    <xf numFmtId="0" fontId="0" fillId="0" borderId="0" xfId="0" applyFill="1" applyAlignment="1">
      <alignment vertical="top"/>
    </xf>
    <xf numFmtId="6" fontId="0" fillId="0" borderId="0" xfId="0" applyNumberFormat="1" applyFill="1" applyAlignment="1">
      <alignment vertical="top"/>
    </xf>
    <xf numFmtId="0" fontId="0" fillId="0" borderId="0" xfId="0" quotePrefix="1" applyFill="1"/>
    <xf numFmtId="0" fontId="0" fillId="0" borderId="0" xfId="0" applyFill="1" applyBorder="1" applyAlignment="1">
      <alignment horizontal="left" indent="2"/>
    </xf>
    <xf numFmtId="164" fontId="2" fillId="2" borderId="1" xfId="1" applyNumberFormat="1" applyFont="1" applyFill="1" applyBorder="1"/>
    <xf numFmtId="9" fontId="0" fillId="0" borderId="0" xfId="2" applyFont="1" applyFill="1"/>
    <xf numFmtId="0" fontId="0" fillId="8" borderId="1" xfId="0" applyFill="1" applyBorder="1" applyAlignment="1">
      <alignment horizontal="center"/>
    </xf>
    <xf numFmtId="0" fontId="0" fillId="8" borderId="0" xfId="0" applyFill="1"/>
    <xf numFmtId="0" fontId="0" fillId="8" borderId="0" xfId="0" applyFill="1" applyAlignment="1">
      <alignment horizontal="center"/>
    </xf>
    <xf numFmtId="6" fontId="0" fillId="8" borderId="0" xfId="0" applyNumberFormat="1" applyFill="1"/>
    <xf numFmtId="0" fontId="2" fillId="8" borderId="1" xfId="0" applyFont="1" applyFill="1" applyBorder="1" applyAlignment="1">
      <alignment horizontal="center"/>
    </xf>
    <xf numFmtId="165" fontId="0" fillId="8" borderId="0" xfId="0" applyNumberFormat="1" applyFill="1"/>
    <xf numFmtId="0" fontId="0" fillId="8" borderId="7" xfId="0" applyFill="1" applyBorder="1" applyAlignment="1">
      <alignment horizontal="center"/>
    </xf>
    <xf numFmtId="0" fontId="0" fillId="8" borderId="4" xfId="0" applyFill="1" applyBorder="1"/>
    <xf numFmtId="42" fontId="0" fillId="8" borderId="0" xfId="0" applyNumberFormat="1" applyFill="1" applyAlignment="1">
      <alignment horizontal="center"/>
    </xf>
    <xf numFmtId="6" fontId="3" fillId="0" borderId="0" xfId="0" applyNumberFormat="1" applyFont="1" applyFill="1"/>
    <xf numFmtId="0" fontId="2" fillId="8" borderId="1" xfId="0" applyFont="1" applyFill="1" applyBorder="1"/>
    <xf numFmtId="0" fontId="6" fillId="0" borderId="0" xfId="0" quotePrefix="1" applyFont="1" applyFill="1"/>
    <xf numFmtId="6" fontId="6" fillId="0" borderId="0" xfId="0" applyNumberFormat="1" applyFont="1" applyFill="1"/>
    <xf numFmtId="164" fontId="6" fillId="0" borderId="0" xfId="0" applyNumberFormat="1" applyFont="1" applyFill="1"/>
    <xf numFmtId="44" fontId="6" fillId="0" borderId="0" xfId="0" applyNumberFormat="1" applyFont="1" applyFill="1"/>
    <xf numFmtId="10" fontId="6" fillId="0" borderId="0" xfId="2" applyNumberFormat="1" applyFont="1" applyFill="1"/>
    <xf numFmtId="0" fontId="6" fillId="8" borderId="1" xfId="0" applyFont="1" applyFill="1" applyBorder="1" applyAlignment="1">
      <alignment horizontal="center"/>
    </xf>
    <xf numFmtId="4" fontId="6" fillId="8" borderId="0" xfId="0" applyNumberFormat="1" applyFont="1" applyFill="1"/>
    <xf numFmtId="170" fontId="6" fillId="8" borderId="0" xfId="0" applyNumberFormat="1" applyFont="1" applyFill="1"/>
    <xf numFmtId="3" fontId="6" fillId="8" borderId="0" xfId="0" applyNumberFormat="1" applyFont="1" applyFill="1"/>
    <xf numFmtId="3" fontId="6" fillId="0" borderId="0" xfId="0" applyNumberFormat="1" applyFont="1" applyFill="1"/>
    <xf numFmtId="164" fontId="6" fillId="8" borderId="0" xfId="0" applyNumberFormat="1" applyFont="1" applyFill="1"/>
    <xf numFmtId="9" fontId="0" fillId="0" borderId="0" xfId="2" applyNumberFormat="1" applyFont="1"/>
    <xf numFmtId="0" fontId="0" fillId="8" borderId="0" xfId="0" applyFill="1" applyBorder="1" applyAlignment="1">
      <alignment horizontal="center"/>
    </xf>
    <xf numFmtId="0" fontId="0" fillId="0" borderId="0" xfId="0" applyFont="1"/>
    <xf numFmtId="6" fontId="0" fillId="0" borderId="0" xfId="0" applyNumberFormat="1" applyFill="1" applyBorder="1" applyAlignment="1">
      <alignment horizontal="center"/>
    </xf>
    <xf numFmtId="164" fontId="0" fillId="0" borderId="2" xfId="1" applyNumberFormat="1" applyFont="1" applyFill="1" applyBorder="1"/>
    <xf numFmtId="6" fontId="0" fillId="3" borderId="0" xfId="0" applyNumberFormat="1" applyFill="1"/>
    <xf numFmtId="166" fontId="0" fillId="0" borderId="0" xfId="0" applyNumberFormat="1" applyFill="1" applyAlignment="1">
      <alignment horizontal="center"/>
    </xf>
    <xf numFmtId="164" fontId="6" fillId="0" borderId="0" xfId="0" applyNumberFormat="1" applyFont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0" fillId="0" borderId="0" xfId="0" applyAlignment="1"/>
    <xf numFmtId="0" fontId="0" fillId="0" borderId="0" xfId="0" applyBorder="1" applyAlignment="1"/>
    <xf numFmtId="0" fontId="0" fillId="2" borderId="7" xfId="0" applyFill="1" applyBorder="1"/>
    <xf numFmtId="0" fontId="0" fillId="0" borderId="8" xfId="0" applyBorder="1"/>
    <xf numFmtId="0" fontId="0" fillId="0" borderId="4" xfId="0" applyFill="1" applyBorder="1"/>
    <xf numFmtId="6" fontId="0" fillId="0" borderId="4" xfId="0" applyNumberFormat="1" applyFill="1" applyBorder="1"/>
    <xf numFmtId="6" fontId="0" fillId="0" borderId="4" xfId="0" applyNumberFormat="1" applyFill="1" applyBorder="1" applyAlignment="1">
      <alignment horizontal="center"/>
    </xf>
    <xf numFmtId="164" fontId="0" fillId="0" borderId="0" xfId="1" applyNumberFormat="1" applyFont="1"/>
    <xf numFmtId="164" fontId="0" fillId="8" borderId="0" xfId="1" applyNumberFormat="1" applyFont="1" applyFill="1" applyBorder="1"/>
    <xf numFmtId="164" fontId="0" fillId="8" borderId="0" xfId="1" applyNumberFormat="1" applyFont="1" applyFill="1"/>
    <xf numFmtId="164" fontId="0" fillId="8" borderId="0" xfId="0" applyNumberFormat="1" applyFill="1"/>
    <xf numFmtId="169" fontId="0" fillId="0" borderId="0" xfId="2" applyNumberFormat="1" applyFont="1" applyAlignment="1">
      <alignment horizontal="center"/>
    </xf>
    <xf numFmtId="169" fontId="0" fillId="0" borderId="0" xfId="0" applyNumberFormat="1" applyFill="1"/>
    <xf numFmtId="169" fontId="0" fillId="0" borderId="0" xfId="0" applyNumberFormat="1"/>
    <xf numFmtId="164" fontId="0" fillId="8" borderId="2" xfId="1" applyNumberFormat="1" applyFont="1" applyFill="1" applyBorder="1"/>
    <xf numFmtId="6" fontId="0" fillId="8" borderId="0" xfId="0" applyNumberFormat="1" applyFill="1" applyBorder="1" applyAlignment="1">
      <alignment horizontal="center"/>
    </xf>
    <xf numFmtId="6" fontId="0" fillId="8" borderId="4" xfId="0" applyNumberFormat="1" applyFill="1" applyBorder="1" applyAlignment="1">
      <alignment horizontal="center"/>
    </xf>
    <xf numFmtId="169" fontId="0" fillId="8" borderId="0" xfId="2" applyNumberFormat="1" applyFont="1" applyFill="1" applyAlignment="1">
      <alignment horizontal="center"/>
    </xf>
    <xf numFmtId="43" fontId="0" fillId="0" borderId="0" xfId="3" applyFont="1"/>
    <xf numFmtId="43" fontId="0" fillId="0" borderId="0" xfId="0" applyNumberFormat="1"/>
    <xf numFmtId="166" fontId="0" fillId="0" borderId="6" xfId="0" applyNumberFormat="1" applyFill="1" applyBorder="1"/>
    <xf numFmtId="166" fontId="0" fillId="0" borderId="9" xfId="0" applyNumberFormat="1" applyFill="1" applyBorder="1"/>
    <xf numFmtId="166" fontId="0" fillId="0" borderId="10" xfId="0" applyNumberFormat="1" applyFill="1" applyBorder="1"/>
    <xf numFmtId="0" fontId="0" fillId="0" borderId="5" xfId="0" applyFill="1" applyBorder="1"/>
    <xf numFmtId="0" fontId="0" fillId="6" borderId="7" xfId="0" applyFill="1" applyBorder="1"/>
    <xf numFmtId="0" fontId="6" fillId="0" borderId="4" xfId="0" applyFont="1" applyBorder="1" applyAlignment="1">
      <alignment horizontal="center"/>
    </xf>
    <xf numFmtId="0" fontId="6" fillId="2" borderId="7" xfId="0" applyFont="1" applyFill="1" applyBorder="1"/>
    <xf numFmtId="0" fontId="6" fillId="0" borderId="4" xfId="0" applyFont="1" applyBorder="1"/>
    <xf numFmtId="165" fontId="6" fillId="0" borderId="0" xfId="0" applyNumberFormat="1" applyFont="1" applyBorder="1"/>
    <xf numFmtId="165" fontId="6" fillId="0" borderId="4" xfId="0" applyNumberFormat="1" applyFont="1" applyBorder="1"/>
    <xf numFmtId="3" fontId="6" fillId="0" borderId="2" xfId="0" applyNumberFormat="1" applyFont="1" applyBorder="1"/>
    <xf numFmtId="0" fontId="6" fillId="0" borderId="12" xfId="0" applyFont="1" applyFill="1" applyBorder="1"/>
    <xf numFmtId="6" fontId="6" fillId="0" borderId="12" xfId="0" applyNumberFormat="1" applyFont="1" applyFill="1" applyBorder="1"/>
    <xf numFmtId="3" fontId="6" fillId="8" borderId="12" xfId="0" applyNumberFormat="1" applyFont="1" applyFill="1" applyBorder="1"/>
    <xf numFmtId="4" fontId="6" fillId="0" borderId="12" xfId="0" applyNumberFormat="1" applyFont="1" applyFill="1" applyBorder="1"/>
    <xf numFmtId="3" fontId="6" fillId="0" borderId="12" xfId="0" applyNumberFormat="1" applyFont="1" applyFill="1" applyBorder="1"/>
    <xf numFmtId="3" fontId="6" fillId="0" borderId="13" xfId="0" applyNumberFormat="1" applyFont="1" applyBorder="1"/>
    <xf numFmtId="165" fontId="6" fillId="0" borderId="12" xfId="0" applyNumberFormat="1" applyFont="1" applyBorder="1"/>
    <xf numFmtId="165" fontId="6" fillId="0" borderId="11" xfId="0" applyNumberFormat="1" applyFont="1" applyBorder="1"/>
    <xf numFmtId="0" fontId="0" fillId="8" borderId="2" xfId="0" applyFill="1" applyBorder="1"/>
    <xf numFmtId="0" fontId="0" fillId="8" borderId="2" xfId="0" applyFill="1" applyBorder="1" applyAlignment="1">
      <alignment horizontal="center"/>
    </xf>
    <xf numFmtId="0" fontId="0" fillId="0" borderId="0" xfId="0" applyFill="1" applyBorder="1" applyAlignment="1">
      <alignment horizontal="left" indent="1"/>
    </xf>
    <xf numFmtId="43" fontId="0" fillId="8" borderId="0" xfId="3" applyFont="1" applyFill="1"/>
    <xf numFmtId="0" fontId="15" fillId="11" borderId="0" xfId="0" applyFont="1" applyFill="1"/>
    <xf numFmtId="0" fontId="2" fillId="12" borderId="0" xfId="0" applyFont="1" applyFill="1"/>
    <xf numFmtId="0" fontId="2" fillId="10" borderId="0" xfId="0" applyFont="1" applyFill="1"/>
    <xf numFmtId="0" fontId="0" fillId="0" borderId="0" xfId="0" applyFill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9" borderId="0" xfId="0" applyFill="1" applyAlignment="1">
      <alignment horizontal="center"/>
    </xf>
  </cellXfs>
  <cellStyles count="4">
    <cellStyle name="Comma" xfId="3" builtinId="3"/>
    <cellStyle name="Currency" xfId="1" builtinId="4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27"/>
  <sheetViews>
    <sheetView tabSelected="1" zoomScale="75" zoomScaleNormal="75" workbookViewId="0">
      <selection activeCell="F10" sqref="F10"/>
    </sheetView>
  </sheetViews>
  <sheetFormatPr defaultRowHeight="15"/>
  <cols>
    <col min="1" max="1" width="46.140625" customWidth="1"/>
    <col min="2" max="4" width="14.42578125" customWidth="1"/>
    <col min="5" max="5" width="15.28515625" customWidth="1"/>
    <col min="6" max="7" width="11.85546875" customWidth="1"/>
    <col min="8" max="13" width="12.5703125" customWidth="1"/>
    <col min="14" max="15" width="12" customWidth="1"/>
    <col min="16" max="16" width="12.42578125" customWidth="1"/>
    <col min="17" max="17" width="11.85546875" customWidth="1"/>
    <col min="18" max="18" width="12.28515625" customWidth="1"/>
    <col min="19" max="19" width="12.140625" customWidth="1"/>
    <col min="20" max="22" width="12.42578125" customWidth="1"/>
    <col min="24" max="24" width="14.85546875" customWidth="1"/>
    <col min="26" max="26" width="10.28515625" customWidth="1"/>
  </cols>
  <sheetData>
    <row r="1" spans="1:24">
      <c r="A1" t="s">
        <v>0</v>
      </c>
    </row>
    <row r="2" spans="1:24">
      <c r="F2" s="218" t="s">
        <v>169</v>
      </c>
      <c r="G2" s="219"/>
      <c r="H2" s="218" t="s">
        <v>10</v>
      </c>
      <c r="I2" s="220"/>
      <c r="J2" s="220"/>
      <c r="K2" s="220"/>
      <c r="L2" s="218" t="s">
        <v>11</v>
      </c>
      <c r="M2" s="220"/>
      <c r="N2" s="220"/>
      <c r="O2" s="220"/>
      <c r="P2" s="218" t="s">
        <v>12</v>
      </c>
      <c r="Q2" s="220"/>
      <c r="R2" s="220"/>
      <c r="S2" s="220"/>
      <c r="T2" s="218" t="s">
        <v>19</v>
      </c>
      <c r="U2" s="220"/>
      <c r="V2" s="220"/>
      <c r="W2" s="220"/>
      <c r="X2" s="211" t="s">
        <v>209</v>
      </c>
    </row>
    <row r="3" spans="1:24">
      <c r="F3" s="114" t="s">
        <v>17</v>
      </c>
      <c r="G3" s="11" t="s">
        <v>18</v>
      </c>
      <c r="H3" s="8" t="s">
        <v>15</v>
      </c>
      <c r="I3" s="11" t="s">
        <v>16</v>
      </c>
      <c r="J3" s="9" t="s">
        <v>17</v>
      </c>
      <c r="K3" s="9" t="s">
        <v>18</v>
      </c>
      <c r="L3" s="8" t="s">
        <v>15</v>
      </c>
      <c r="M3" s="11" t="s">
        <v>16</v>
      </c>
      <c r="N3" s="9" t="s">
        <v>17</v>
      </c>
      <c r="O3" s="9" t="s">
        <v>18</v>
      </c>
      <c r="P3" s="8" t="s">
        <v>15</v>
      </c>
      <c r="Q3" s="11" t="s">
        <v>16</v>
      </c>
      <c r="R3" s="9" t="s">
        <v>17</v>
      </c>
      <c r="S3" s="9" t="s">
        <v>18</v>
      </c>
      <c r="T3" s="8" t="s">
        <v>15</v>
      </c>
      <c r="U3" s="11" t="s">
        <v>16</v>
      </c>
      <c r="V3" s="9" t="s">
        <v>17</v>
      </c>
      <c r="W3" s="9" t="s">
        <v>18</v>
      </c>
      <c r="X3" s="211"/>
    </row>
    <row r="4" spans="1:24" ht="15.75" thickBot="1">
      <c r="A4" s="13" t="s">
        <v>6</v>
      </c>
      <c r="B4" s="13" t="s">
        <v>170</v>
      </c>
      <c r="C4" s="13" t="s">
        <v>54</v>
      </c>
      <c r="D4" s="13" t="s">
        <v>171</v>
      </c>
      <c r="E4" s="13" t="s">
        <v>174</v>
      </c>
      <c r="F4" s="116"/>
      <c r="G4" s="13"/>
      <c r="H4" s="7"/>
      <c r="I4" s="1"/>
      <c r="J4" s="1"/>
      <c r="K4" s="1"/>
      <c r="L4" s="7"/>
      <c r="M4" s="1"/>
      <c r="N4" s="1"/>
      <c r="O4" s="1"/>
      <c r="P4" s="7"/>
      <c r="Q4" s="1"/>
      <c r="R4" s="1"/>
      <c r="S4" s="1"/>
      <c r="T4" s="7"/>
      <c r="U4" s="1"/>
      <c r="V4" s="1"/>
      <c r="W4" s="1"/>
      <c r="X4" s="210"/>
    </row>
    <row r="5" spans="1:24" ht="15.75" thickTop="1">
      <c r="A5" s="214" t="s">
        <v>199</v>
      </c>
      <c r="F5" s="6"/>
      <c r="G5" s="3"/>
      <c r="H5" s="6"/>
      <c r="I5" s="3"/>
      <c r="L5" s="6"/>
      <c r="P5" s="6"/>
      <c r="T5" s="6"/>
      <c r="X5" s="210"/>
    </row>
    <row r="6" spans="1:24">
      <c r="A6" t="s">
        <v>202</v>
      </c>
      <c r="B6" s="10">
        <f>'DC Ftotten'!E29</f>
        <v>4171050</v>
      </c>
      <c r="C6" s="10">
        <f>'DC Ftotten'!E31</f>
        <v>3336840</v>
      </c>
      <c r="D6" s="10">
        <f>'DC Ftotten'!E33</f>
        <v>834210</v>
      </c>
      <c r="E6" s="182">
        <f>D6/B6</f>
        <v>0.2</v>
      </c>
      <c r="F6" s="164">
        <f>'DC Ftotten'!I29</f>
        <v>258750</v>
      </c>
      <c r="G6" s="163">
        <f>'DC Ftotten'!J29</f>
        <v>258750</v>
      </c>
      <c r="H6" s="164">
        <f>'DC Ftotten'!K29</f>
        <v>0</v>
      </c>
      <c r="I6" s="163">
        <f>'DC Ftotten'!L29</f>
        <v>1216336.4850000001</v>
      </c>
      <c r="J6" s="163">
        <f>'DC Ftotten'!M29</f>
        <v>1216336.4850000001</v>
      </c>
      <c r="K6" s="163">
        <f>'DC Ftotten'!N29</f>
        <v>1220877.0300000003</v>
      </c>
      <c r="L6" s="164"/>
      <c r="M6" s="163"/>
      <c r="N6" s="163"/>
      <c r="P6" s="6"/>
      <c r="Q6" s="3"/>
      <c r="R6" s="3"/>
      <c r="S6" s="101"/>
      <c r="T6" s="6"/>
      <c r="U6" s="3"/>
      <c r="V6" s="3"/>
      <c r="W6" s="101"/>
      <c r="X6" s="179">
        <f>SUM(F6:W6)</f>
        <v>4171050.0000000005</v>
      </c>
    </row>
    <row r="7" spans="1:24">
      <c r="F7" s="164"/>
      <c r="G7" s="163"/>
      <c r="H7" s="164"/>
      <c r="I7" s="163"/>
      <c r="J7" s="163"/>
      <c r="K7" s="163"/>
      <c r="L7" s="164"/>
      <c r="M7" s="163"/>
      <c r="N7" s="163"/>
      <c r="P7" s="6"/>
      <c r="Q7" s="3"/>
      <c r="R7" s="3"/>
      <c r="S7" s="101"/>
      <c r="T7" s="6"/>
      <c r="U7" s="3"/>
      <c r="V7" s="3"/>
      <c r="W7" s="101"/>
      <c r="X7" s="179"/>
    </row>
    <row r="8" spans="1:24">
      <c r="A8" s="215" t="s">
        <v>200</v>
      </c>
      <c r="B8" s="10"/>
      <c r="C8" s="10"/>
      <c r="D8" s="10"/>
      <c r="E8" s="182"/>
      <c r="F8" s="164"/>
      <c r="G8" s="163"/>
      <c r="H8" s="164"/>
      <c r="I8" s="163"/>
      <c r="J8" s="163"/>
      <c r="K8" s="163"/>
      <c r="L8" s="164"/>
      <c r="M8" s="163"/>
      <c r="N8" s="163"/>
      <c r="P8" s="6"/>
      <c r="Q8" s="3"/>
      <c r="R8" s="3"/>
      <c r="S8" s="101"/>
      <c r="T8" s="6"/>
      <c r="U8" s="3"/>
      <c r="V8" s="3"/>
      <c r="W8" s="101"/>
      <c r="X8" s="179"/>
    </row>
    <row r="9" spans="1:24">
      <c r="A9" t="s">
        <v>203</v>
      </c>
      <c r="B9" s="10">
        <f>'MC F Glen'!E34</f>
        <v>17600000</v>
      </c>
      <c r="C9" s="10">
        <f>B9*0.8</f>
        <v>14080000</v>
      </c>
      <c r="D9" s="10">
        <f>B9*0.2</f>
        <v>3520000</v>
      </c>
      <c r="E9" s="182">
        <f>D9/B9</f>
        <v>0.2</v>
      </c>
      <c r="F9" s="164">
        <f>'MC F Glen'!I34</f>
        <v>105000</v>
      </c>
      <c r="G9" s="163">
        <f>'MC F Glen'!J34</f>
        <v>105000</v>
      </c>
      <c r="H9" s="164">
        <f>'MC F Glen'!K34</f>
        <v>450000</v>
      </c>
      <c r="I9" s="163">
        <f>'MC F Glen'!L34</f>
        <v>450000</v>
      </c>
      <c r="J9" s="163">
        <f>'MC F Glen'!M34</f>
        <v>450000</v>
      </c>
      <c r="K9" s="163">
        <f>'MC F Glen'!N34</f>
        <v>950000</v>
      </c>
      <c r="L9" s="164">
        <f>'MC F Glen'!O34</f>
        <v>1115000</v>
      </c>
      <c r="M9" s="163">
        <f>'MC F Glen'!P34</f>
        <v>1115000</v>
      </c>
      <c r="N9" s="163">
        <f>'MC F Glen'!Q34</f>
        <v>927500</v>
      </c>
      <c r="O9" s="163">
        <f>'MC F Glen'!R34</f>
        <v>1135833.3333333333</v>
      </c>
      <c r="P9" s="164">
        <f>'MC F Glen'!S34</f>
        <v>1240000</v>
      </c>
      <c r="Q9" s="163">
        <f>'MC F Glen'!T34</f>
        <v>1240000</v>
      </c>
      <c r="R9" s="163">
        <f>'MC F Glen'!U34</f>
        <v>922083.33333333326</v>
      </c>
      <c r="S9" s="177">
        <f>'MC F Glen'!V34</f>
        <v>1692916.6666666667</v>
      </c>
      <c r="T9" s="164">
        <f>'MC F Glen'!W34</f>
        <v>1820000</v>
      </c>
      <c r="U9" s="163">
        <f>'MC F Glen'!X34</f>
        <v>2185625</v>
      </c>
      <c r="V9" s="163">
        <f>'MC F Glen'!Y34</f>
        <v>1696041.6666666665</v>
      </c>
      <c r="W9" s="177"/>
      <c r="X9" s="179">
        <f>SUM(F9:W9)</f>
        <v>17600000</v>
      </c>
    </row>
    <row r="10" spans="1:24">
      <c r="A10" s="113"/>
      <c r="B10" s="10"/>
      <c r="C10" s="10"/>
      <c r="D10" s="10"/>
      <c r="E10" s="182"/>
      <c r="F10" s="164"/>
      <c r="G10" s="163"/>
      <c r="H10" s="164"/>
      <c r="I10" s="163"/>
      <c r="J10" s="163"/>
      <c r="K10" s="163"/>
      <c r="L10" s="164"/>
      <c r="M10" s="163"/>
      <c r="N10" s="163"/>
      <c r="P10" s="6"/>
      <c r="Q10" s="3"/>
      <c r="R10" s="3"/>
      <c r="S10" s="101"/>
      <c r="T10" s="6"/>
      <c r="U10" s="3"/>
      <c r="V10" s="3"/>
      <c r="W10" s="101"/>
      <c r="X10" s="179"/>
    </row>
    <row r="11" spans="1:24">
      <c r="A11" t="s">
        <v>204</v>
      </c>
      <c r="B11" s="10">
        <f>'PG NewC'!E44</f>
        <v>953419.60000000009</v>
      </c>
      <c r="C11" s="10">
        <f>'PG NewC'!E46</f>
        <v>682735.68</v>
      </c>
      <c r="D11" s="10">
        <f>'PG NewC'!E48</f>
        <v>270683.92000000004</v>
      </c>
      <c r="E11" s="182">
        <f>D11/B11</f>
        <v>0.28390849107780036</v>
      </c>
      <c r="F11" s="164">
        <f>'PG NewC'!G44</f>
        <v>50000</v>
      </c>
      <c r="G11" s="163">
        <f>'PG NewC'!H44</f>
        <v>50000</v>
      </c>
      <c r="H11" s="164">
        <f>'PG NewC'!I44</f>
        <v>52267.5</v>
      </c>
      <c r="I11" s="163">
        <f>'PG NewC'!J44</f>
        <v>105052.5</v>
      </c>
      <c r="J11" s="163">
        <f>'PG NewC'!K44</f>
        <v>346725</v>
      </c>
      <c r="K11" s="163">
        <f>'PG NewC'!L44</f>
        <v>297624.59999999998</v>
      </c>
      <c r="L11" s="164">
        <f>'PG NewC'!M44</f>
        <v>51750</v>
      </c>
      <c r="M11" s="163"/>
      <c r="N11" s="163"/>
      <c r="O11" s="163"/>
      <c r="P11" s="6"/>
      <c r="Q11" s="3"/>
      <c r="R11" s="3"/>
      <c r="S11" s="101"/>
      <c r="T11" s="6"/>
      <c r="U11" s="3"/>
      <c r="V11" s="3"/>
      <c r="W11" s="101"/>
      <c r="X11" s="179">
        <f>SUM(F11:W11)</f>
        <v>953419.6</v>
      </c>
    </row>
    <row r="12" spans="1:24" s="15" customFormat="1">
      <c r="A12" s="212"/>
      <c r="B12" s="10"/>
      <c r="C12" s="10"/>
      <c r="D12" s="10"/>
      <c r="E12" s="183"/>
      <c r="F12" s="117"/>
      <c r="G12" s="72"/>
      <c r="H12" s="164"/>
      <c r="I12" s="14"/>
      <c r="L12" s="17"/>
      <c r="P12" s="17"/>
      <c r="Q12" s="14"/>
      <c r="R12" s="14"/>
      <c r="S12" s="175"/>
      <c r="T12" s="17"/>
      <c r="U12" s="14"/>
      <c r="V12" s="14"/>
      <c r="W12" s="175"/>
      <c r="X12" s="179"/>
    </row>
    <row r="13" spans="1:24">
      <c r="A13" t="s">
        <v>205</v>
      </c>
      <c r="B13" s="10">
        <f>'RV Tbrook'!E68</f>
        <v>501589.98</v>
      </c>
      <c r="C13" s="10">
        <f>'RV Tbrook'!E70</f>
        <v>401271.984</v>
      </c>
      <c r="D13" s="10">
        <f>'RV Tbrook'!E72</f>
        <v>100317.99599999998</v>
      </c>
      <c r="E13" s="182">
        <f>D13/B13</f>
        <v>0.19999999999999998</v>
      </c>
      <c r="F13" s="117"/>
      <c r="H13" s="164"/>
      <c r="I13" s="163"/>
      <c r="J13" s="163"/>
      <c r="K13" s="163"/>
      <c r="L13" s="164">
        <f>'RV Tbrook'!L68</f>
        <v>246810.13650000002</v>
      </c>
      <c r="M13" s="67">
        <f>'RV Tbrook'!M68</f>
        <v>254779.84350000002</v>
      </c>
      <c r="P13" s="6"/>
      <c r="Q13" s="3"/>
      <c r="R13" s="3"/>
      <c r="S13" s="101"/>
      <c r="T13" s="6"/>
      <c r="U13" s="3"/>
      <c r="V13" s="3"/>
      <c r="W13" s="101"/>
      <c r="X13" s="179">
        <f>SUM(F13:W13)</f>
        <v>501589.98000000004</v>
      </c>
    </row>
    <row r="14" spans="1:24">
      <c r="A14" s="113"/>
      <c r="B14" s="10"/>
      <c r="C14" s="10"/>
      <c r="D14" s="10"/>
      <c r="E14" s="184"/>
      <c r="F14" s="117"/>
      <c r="H14" s="164"/>
      <c r="I14" s="163"/>
      <c r="J14" s="163"/>
      <c r="K14" s="163"/>
      <c r="L14" s="164"/>
      <c r="P14" s="6"/>
      <c r="Q14" s="3"/>
      <c r="R14" s="3"/>
      <c r="S14" s="101"/>
      <c r="T14" s="6"/>
      <c r="U14" s="3"/>
      <c r="V14" s="3"/>
      <c r="W14" s="101"/>
      <c r="X14" s="180"/>
    </row>
    <row r="15" spans="1:24">
      <c r="A15" t="s">
        <v>206</v>
      </c>
      <c r="B15" s="10">
        <f>'PG WH'!E27</f>
        <v>710250</v>
      </c>
      <c r="C15" s="10">
        <f>'PG WH'!E29</f>
        <v>542750</v>
      </c>
      <c r="D15" s="10">
        <f>'PG WH'!E31</f>
        <v>167500</v>
      </c>
      <c r="E15" s="182">
        <f>D15/B15</f>
        <v>0.23583245336149244</v>
      </c>
      <c r="F15" s="117"/>
      <c r="H15" s="164"/>
      <c r="I15" s="163">
        <f>'PG WH'!H25</f>
        <v>37500</v>
      </c>
      <c r="J15" s="163">
        <f>'PG WH'!I25</f>
        <v>257583.33333333334</v>
      </c>
      <c r="K15" s="163">
        <f>'PG WH'!J25</f>
        <v>267583.33333333331</v>
      </c>
      <c r="L15" s="164">
        <f>'PG WH'!K25</f>
        <v>147583.33333333334</v>
      </c>
      <c r="P15" s="6"/>
      <c r="Q15" s="3"/>
      <c r="R15" s="3"/>
      <c r="S15" s="101"/>
      <c r="T15" s="6"/>
      <c r="U15" s="3"/>
      <c r="V15" s="3"/>
      <c r="W15" s="101"/>
      <c r="X15" s="179">
        <f>SUM(F15:W15)</f>
        <v>710250.00000000012</v>
      </c>
    </row>
    <row r="16" spans="1:24">
      <c r="B16" s="10"/>
      <c r="C16" s="10"/>
      <c r="D16" s="10"/>
      <c r="E16" s="182"/>
      <c r="F16" s="117"/>
      <c r="H16" s="164"/>
      <c r="I16" s="163"/>
      <c r="J16" s="163"/>
      <c r="K16" s="163"/>
      <c r="L16" s="164"/>
      <c r="P16" s="6"/>
      <c r="Q16" s="3"/>
      <c r="R16" s="3"/>
      <c r="S16" s="101"/>
      <c r="T16" s="6"/>
      <c r="U16" s="3"/>
      <c r="V16" s="3"/>
      <c r="W16" s="101"/>
      <c r="X16" s="179"/>
    </row>
    <row r="17" spans="1:24">
      <c r="A17" s="216" t="s">
        <v>201</v>
      </c>
      <c r="B17" s="10"/>
      <c r="C17" s="10"/>
      <c r="D17" s="10"/>
      <c r="E17" s="182"/>
      <c r="F17" s="117"/>
      <c r="H17" s="164"/>
      <c r="I17" s="163"/>
      <c r="J17" s="163"/>
      <c r="K17" s="163"/>
      <c r="L17" s="164"/>
      <c r="P17" s="6"/>
      <c r="Q17" s="3"/>
      <c r="R17" s="3"/>
      <c r="S17" s="101"/>
      <c r="T17" s="6"/>
      <c r="U17" s="3"/>
      <c r="V17" s="3"/>
      <c r="W17" s="101"/>
      <c r="X17" s="179"/>
    </row>
    <row r="18" spans="1:24">
      <c r="A18" t="s">
        <v>207</v>
      </c>
      <c r="B18" s="10">
        <f>'Arl A-N'!E36</f>
        <v>6838878.7400000002</v>
      </c>
      <c r="C18" s="10">
        <f>'Arl A-N'!E38</f>
        <v>4965982.9920000006</v>
      </c>
      <c r="D18" s="10">
        <f>'Arl A-N'!E40</f>
        <v>1872895.7479999997</v>
      </c>
      <c r="E18" s="182">
        <f>D18/B18</f>
        <v>0.27386006086722919</v>
      </c>
      <c r="F18" s="164"/>
      <c r="G18" s="163"/>
      <c r="H18" s="164">
        <f>'Arl A-N'!G37</f>
        <v>1011328.74</v>
      </c>
      <c r="I18" s="163">
        <f>'Arl A-N'!H37</f>
        <v>135050</v>
      </c>
      <c r="J18" s="163">
        <f>'Arl A-N'!I37</f>
        <v>1428300</v>
      </c>
      <c r="K18" s="163">
        <f>'Arl A-N'!J37</f>
        <v>1428300</v>
      </c>
      <c r="L18" s="164">
        <f>'Arl A-N'!K37</f>
        <v>1428300</v>
      </c>
      <c r="M18" s="163">
        <f>'Arl A-N'!L37</f>
        <v>1407600</v>
      </c>
      <c r="N18" s="163"/>
      <c r="O18" s="163"/>
      <c r="P18" s="6"/>
      <c r="Q18" s="3"/>
      <c r="R18" s="3"/>
      <c r="S18" s="101"/>
      <c r="T18" s="6"/>
      <c r="U18" s="3"/>
      <c r="V18" s="3"/>
      <c r="W18" s="101"/>
      <c r="X18" s="179">
        <f>SUM(F18:W18)</f>
        <v>6838878.7400000002</v>
      </c>
    </row>
    <row r="19" spans="1:24">
      <c r="A19" s="113"/>
      <c r="B19" s="10"/>
      <c r="C19" s="10"/>
      <c r="D19" s="10"/>
      <c r="E19" s="184"/>
      <c r="F19" s="117"/>
      <c r="H19" s="164"/>
      <c r="I19" s="163"/>
      <c r="J19" s="163"/>
      <c r="K19" s="163"/>
      <c r="L19" s="164"/>
      <c r="P19" s="6"/>
      <c r="Q19" s="3"/>
      <c r="R19" s="3"/>
      <c r="S19" s="101"/>
      <c r="T19" s="6"/>
      <c r="U19" s="3"/>
      <c r="V19" s="3"/>
      <c r="W19" s="101"/>
      <c r="X19" s="180"/>
    </row>
    <row r="20" spans="1:24">
      <c r="A20" t="s">
        <v>208</v>
      </c>
      <c r="B20" s="10">
        <f>VRE!E60</f>
        <v>283600.34999999998</v>
      </c>
      <c r="C20" s="10">
        <f>VRE!E62</f>
        <v>226880.28</v>
      </c>
      <c r="D20" s="10">
        <f>VRE!E64</f>
        <v>56720.069999999978</v>
      </c>
      <c r="E20" s="182">
        <f>D20/B20</f>
        <v>0.19999999999999993</v>
      </c>
      <c r="F20" s="117"/>
      <c r="H20" s="164"/>
      <c r="I20" s="163"/>
      <c r="J20" s="163">
        <f>VRE!I60</f>
        <v>65555</v>
      </c>
      <c r="K20" s="163">
        <f>VRE!J60</f>
        <v>108655</v>
      </c>
      <c r="L20" s="164">
        <f>VRE!K60</f>
        <v>56905</v>
      </c>
      <c r="M20" s="163">
        <f>VRE!L60</f>
        <v>44505</v>
      </c>
      <c r="N20" s="163">
        <f>VRE!M60</f>
        <v>7980</v>
      </c>
      <c r="P20" s="6"/>
      <c r="Q20" s="3"/>
      <c r="R20" s="3"/>
      <c r="S20" s="101"/>
      <c r="T20" s="6"/>
      <c r="U20" s="3"/>
      <c r="V20" s="3"/>
      <c r="W20" s="101"/>
      <c r="X20" s="179">
        <f>SUM(F20:W20)</f>
        <v>283600</v>
      </c>
    </row>
    <row r="21" spans="1:24">
      <c r="B21" s="10"/>
      <c r="C21" s="10"/>
      <c r="D21" s="10"/>
      <c r="E21" s="184"/>
      <c r="F21" s="117"/>
      <c r="H21" s="164"/>
      <c r="I21" s="163"/>
      <c r="J21" s="163"/>
      <c r="K21" s="163"/>
      <c r="L21" s="164"/>
      <c r="P21" s="6"/>
      <c r="Q21" s="3"/>
      <c r="R21" s="3"/>
      <c r="S21" s="101"/>
      <c r="T21" s="6"/>
      <c r="U21" s="3"/>
      <c r="V21" s="3"/>
      <c r="W21" s="101"/>
      <c r="X21" s="180"/>
    </row>
    <row r="22" spans="1:24">
      <c r="A22" s="139" t="s">
        <v>21</v>
      </c>
      <c r="B22" s="181">
        <f>SUM(B6:B21)</f>
        <v>31058788.670000002</v>
      </c>
      <c r="C22" s="181">
        <f>SUM(C6:C21)</f>
        <v>24236460.936000004</v>
      </c>
      <c r="D22" s="181">
        <f>SUM(D6:D21)</f>
        <v>6822327.7340000002</v>
      </c>
      <c r="E22" s="188">
        <f>D22/B22</f>
        <v>0.2196585258519678</v>
      </c>
      <c r="F22" s="185">
        <f t="shared" ref="F22:V22" si="0">SUM(F6:F21)</f>
        <v>413750</v>
      </c>
      <c r="G22" s="186">
        <f t="shared" si="0"/>
        <v>413750</v>
      </c>
      <c r="H22" s="185">
        <f t="shared" si="0"/>
        <v>1513596.24</v>
      </c>
      <c r="I22" s="186">
        <f t="shared" si="0"/>
        <v>1943938.9850000001</v>
      </c>
      <c r="J22" s="186">
        <f t="shared" si="0"/>
        <v>3764499.8183333334</v>
      </c>
      <c r="K22" s="186">
        <f t="shared" si="0"/>
        <v>4273039.9633333338</v>
      </c>
      <c r="L22" s="185">
        <f t="shared" si="0"/>
        <v>3046348.469833333</v>
      </c>
      <c r="M22" s="186">
        <f t="shared" si="0"/>
        <v>2821884.8435</v>
      </c>
      <c r="N22" s="186">
        <f t="shared" si="0"/>
        <v>935480</v>
      </c>
      <c r="O22" s="186">
        <f t="shared" si="0"/>
        <v>1135833.3333333333</v>
      </c>
      <c r="P22" s="185">
        <f t="shared" si="0"/>
        <v>1240000</v>
      </c>
      <c r="Q22" s="186">
        <f t="shared" si="0"/>
        <v>1240000</v>
      </c>
      <c r="R22" s="186">
        <f t="shared" si="0"/>
        <v>922083.33333333326</v>
      </c>
      <c r="S22" s="187">
        <f t="shared" si="0"/>
        <v>1692916.6666666667</v>
      </c>
      <c r="T22" s="185">
        <f t="shared" si="0"/>
        <v>1820000</v>
      </c>
      <c r="U22" s="186">
        <f t="shared" si="0"/>
        <v>2185625</v>
      </c>
      <c r="V22" s="186">
        <f t="shared" si="0"/>
        <v>1696041.6666666665</v>
      </c>
      <c r="W22" s="145"/>
      <c r="X22" s="179">
        <f>SUM(F22:W22)</f>
        <v>31058788.32</v>
      </c>
    </row>
    <row r="23" spans="1:24">
      <c r="F23" s="117"/>
      <c r="H23" s="164"/>
      <c r="I23" s="163"/>
      <c r="J23" s="163"/>
      <c r="K23" s="163"/>
      <c r="L23" s="164"/>
      <c r="P23" s="6"/>
      <c r="Q23" s="3"/>
      <c r="R23" s="3"/>
      <c r="S23" s="101"/>
      <c r="T23" s="6"/>
      <c r="U23" s="3"/>
      <c r="V23" s="3"/>
      <c r="W23" s="101"/>
      <c r="X23" s="139"/>
    </row>
    <row r="24" spans="1:24">
      <c r="A24" t="s">
        <v>196</v>
      </c>
      <c r="F24" s="189">
        <f>F22/92000</f>
        <v>4.4972826086956523</v>
      </c>
      <c r="G24" s="189">
        <f t="shared" ref="G24:V24" si="1">G22/92000</f>
        <v>4.4972826086956523</v>
      </c>
      <c r="H24" s="189">
        <f t="shared" si="1"/>
        <v>16.452133043478259</v>
      </c>
      <c r="I24" s="189">
        <f t="shared" si="1"/>
        <v>21.129771576086959</v>
      </c>
      <c r="J24" s="189">
        <f t="shared" si="1"/>
        <v>40.918476286231886</v>
      </c>
      <c r="K24" s="189">
        <f t="shared" si="1"/>
        <v>46.446086557971022</v>
      </c>
      <c r="L24" s="189">
        <f t="shared" si="1"/>
        <v>33.112483367753619</v>
      </c>
      <c r="M24" s="189">
        <f t="shared" si="1"/>
        <v>30.672661342391304</v>
      </c>
      <c r="N24" s="189">
        <f t="shared" si="1"/>
        <v>10.168260869565218</v>
      </c>
      <c r="O24" s="189">
        <f t="shared" si="1"/>
        <v>12.346014492753623</v>
      </c>
      <c r="P24" s="189">
        <f t="shared" si="1"/>
        <v>13.478260869565217</v>
      </c>
      <c r="Q24" s="189">
        <f t="shared" si="1"/>
        <v>13.478260869565217</v>
      </c>
      <c r="R24" s="189">
        <f t="shared" si="1"/>
        <v>10.022644927536231</v>
      </c>
      <c r="S24" s="189">
        <f t="shared" si="1"/>
        <v>18.401268115942031</v>
      </c>
      <c r="T24" s="189">
        <f t="shared" si="1"/>
        <v>19.782608695652176</v>
      </c>
      <c r="U24" s="189">
        <f t="shared" si="1"/>
        <v>23.756793478260871</v>
      </c>
      <c r="V24" s="189">
        <f t="shared" si="1"/>
        <v>18.435235507246375</v>
      </c>
      <c r="X24" s="213">
        <f>SUM(F24:W24)</f>
        <v>337.5955252173913</v>
      </c>
    </row>
    <row r="25" spans="1:24">
      <c r="B25" s="10"/>
      <c r="C25" s="10"/>
      <c r="D25" s="10"/>
      <c r="X25" s="139"/>
    </row>
    <row r="26" spans="1:24">
      <c r="A26" t="s">
        <v>197</v>
      </c>
      <c r="B26" s="162"/>
      <c r="C26" s="162"/>
      <c r="D26" s="162"/>
      <c r="F26" s="190">
        <f>F24*0.64</f>
        <v>2.8782608695652177</v>
      </c>
      <c r="G26" s="190">
        <f t="shared" ref="G26:V26" si="2">G24*0.64</f>
        <v>2.8782608695652177</v>
      </c>
      <c r="H26" s="190">
        <f t="shared" si="2"/>
        <v>10.529365147826086</v>
      </c>
      <c r="I26" s="190">
        <f t="shared" si="2"/>
        <v>13.523053808695654</v>
      </c>
      <c r="J26" s="190">
        <f t="shared" si="2"/>
        <v>26.187824823188407</v>
      </c>
      <c r="K26" s="190">
        <f t="shared" si="2"/>
        <v>29.725495397101454</v>
      </c>
      <c r="L26" s="190">
        <f t="shared" si="2"/>
        <v>21.191989355362317</v>
      </c>
      <c r="M26" s="190">
        <f t="shared" si="2"/>
        <v>19.630503259130435</v>
      </c>
      <c r="N26" s="190">
        <f t="shared" si="2"/>
        <v>6.5076869565217397</v>
      </c>
      <c r="O26" s="190">
        <f t="shared" si="2"/>
        <v>7.9014492753623191</v>
      </c>
      <c r="P26" s="190">
        <f t="shared" si="2"/>
        <v>8.6260869565217391</v>
      </c>
      <c r="Q26" s="190">
        <f t="shared" si="2"/>
        <v>8.6260869565217391</v>
      </c>
      <c r="R26" s="190">
        <f t="shared" si="2"/>
        <v>6.4144927536231879</v>
      </c>
      <c r="S26" s="190">
        <f t="shared" si="2"/>
        <v>11.776811594202901</v>
      </c>
      <c r="T26" s="190">
        <f t="shared" si="2"/>
        <v>12.660869565217393</v>
      </c>
      <c r="U26" s="190">
        <f t="shared" si="2"/>
        <v>15.204347826086957</v>
      </c>
      <c r="V26" s="190">
        <f t="shared" si="2"/>
        <v>11.79855072463768</v>
      </c>
      <c r="X26" s="213">
        <f>SUM(F26:W26)</f>
        <v>216.06113613913044</v>
      </c>
    </row>
    <row r="27" spans="1:24">
      <c r="A27" t="s">
        <v>198</v>
      </c>
      <c r="B27" s="162"/>
      <c r="C27" s="162"/>
      <c r="D27" s="162"/>
      <c r="F27" s="190">
        <f>F24*0.36</f>
        <v>1.6190217391304347</v>
      </c>
      <c r="G27" s="190">
        <f t="shared" ref="G27:V27" si="3">G24*0.36</f>
        <v>1.6190217391304347</v>
      </c>
      <c r="H27" s="190">
        <f t="shared" si="3"/>
        <v>5.9227678956521732</v>
      </c>
      <c r="I27" s="190">
        <f t="shared" si="3"/>
        <v>7.6067177673913049</v>
      </c>
      <c r="J27" s="190">
        <f t="shared" si="3"/>
        <v>14.730651463043479</v>
      </c>
      <c r="K27" s="190">
        <f t="shared" si="3"/>
        <v>16.720591160869567</v>
      </c>
      <c r="L27" s="190">
        <f t="shared" si="3"/>
        <v>11.920494012391302</v>
      </c>
      <c r="M27" s="190">
        <f t="shared" si="3"/>
        <v>11.042158083260869</v>
      </c>
      <c r="N27" s="190">
        <f t="shared" si="3"/>
        <v>3.6605739130434785</v>
      </c>
      <c r="O27" s="190">
        <f t="shared" si="3"/>
        <v>4.4445652173913039</v>
      </c>
      <c r="P27" s="190">
        <f t="shared" si="3"/>
        <v>4.8521739130434778</v>
      </c>
      <c r="Q27" s="190">
        <f t="shared" si="3"/>
        <v>4.8521739130434778</v>
      </c>
      <c r="R27" s="190">
        <f t="shared" si="3"/>
        <v>3.6081521739130427</v>
      </c>
      <c r="S27" s="190">
        <f t="shared" si="3"/>
        <v>6.6244565217391314</v>
      </c>
      <c r="T27" s="190">
        <f t="shared" si="3"/>
        <v>7.1217391304347828</v>
      </c>
      <c r="U27" s="190">
        <f t="shared" si="3"/>
        <v>8.5524456521739136</v>
      </c>
      <c r="V27" s="190">
        <f t="shared" si="3"/>
        <v>6.636684782608695</v>
      </c>
      <c r="X27" s="213">
        <f>SUM(F27:W27)</f>
        <v>121.53438907826086</v>
      </c>
    </row>
  </sheetData>
  <mergeCells count="5">
    <mergeCell ref="F2:G2"/>
    <mergeCell ref="H2:K2"/>
    <mergeCell ref="L2:O2"/>
    <mergeCell ref="P2:S2"/>
    <mergeCell ref="T2:W2"/>
  </mergeCells>
  <pageMargins left="0.18" right="0.19" top="0.75" bottom="0.75" header="0.3" footer="0.3"/>
  <pageSetup paperSize="5" scale="51" orientation="landscape" r:id="rId1"/>
  <ignoredErrors>
    <ignoredError sqref="E2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C36"/>
  <sheetViews>
    <sheetView zoomScale="75" zoomScaleNormal="75" workbookViewId="0">
      <selection activeCell="L32" sqref="L32"/>
    </sheetView>
  </sheetViews>
  <sheetFormatPr defaultRowHeight="15"/>
  <cols>
    <col min="1" max="1" width="46.140625" customWidth="1"/>
    <col min="2" max="4" width="13.42578125" customWidth="1"/>
    <col min="5" max="5" width="14.42578125" customWidth="1"/>
    <col min="6" max="6" width="15.28515625" customWidth="1"/>
    <col min="9" max="9" width="11.7109375" bestFit="1" customWidth="1"/>
    <col min="10" max="10" width="11.42578125" customWidth="1"/>
    <col min="11" max="11" width="10.42578125" bestFit="1" customWidth="1"/>
    <col min="12" max="12" width="13.28515625" bestFit="1" customWidth="1"/>
    <col min="13" max="14" width="13.28515625" customWidth="1"/>
    <col min="15" max="15" width="12.42578125" customWidth="1"/>
    <col min="16" max="16" width="12.7109375" bestFit="1" customWidth="1"/>
    <col min="19" max="19" width="10.42578125" customWidth="1"/>
    <col min="24" max="24" width="9.85546875" customWidth="1"/>
    <col min="29" max="29" width="10.28515625" customWidth="1"/>
  </cols>
  <sheetData>
    <row r="1" spans="1:16">
      <c r="A1" t="s">
        <v>0</v>
      </c>
      <c r="M1" s="221">
        <v>2013</v>
      </c>
      <c r="N1" s="222"/>
      <c r="O1" s="222"/>
      <c r="P1" s="222"/>
    </row>
    <row r="2" spans="1:16">
      <c r="G2" s="218" t="s">
        <v>23</v>
      </c>
      <c r="H2" s="220"/>
      <c r="I2" s="220"/>
      <c r="J2" s="220"/>
      <c r="K2" s="218" t="s">
        <v>10</v>
      </c>
      <c r="L2" s="220"/>
      <c r="M2" s="220"/>
      <c r="N2" s="220"/>
    </row>
    <row r="3" spans="1:16">
      <c r="G3" s="114" t="s">
        <v>15</v>
      </c>
      <c r="H3" s="11" t="s">
        <v>16</v>
      </c>
      <c r="I3" s="115" t="s">
        <v>17</v>
      </c>
      <c r="J3" s="115" t="s">
        <v>18</v>
      </c>
      <c r="K3" s="114" t="s">
        <v>15</v>
      </c>
      <c r="L3" s="11" t="s">
        <v>16</v>
      </c>
      <c r="M3" s="115" t="s">
        <v>17</v>
      </c>
      <c r="N3" s="115" t="s">
        <v>18</v>
      </c>
    </row>
    <row r="4" spans="1:16" ht="15.75" thickBot="1">
      <c r="A4" s="13" t="s">
        <v>6</v>
      </c>
      <c r="B4" s="13" t="s">
        <v>1</v>
      </c>
      <c r="C4" s="13" t="s">
        <v>2</v>
      </c>
      <c r="D4" s="13" t="s">
        <v>3</v>
      </c>
      <c r="E4" s="13" t="s">
        <v>4</v>
      </c>
      <c r="F4" s="13" t="s">
        <v>5</v>
      </c>
      <c r="G4" s="7"/>
      <c r="H4" s="1"/>
      <c r="I4" s="1"/>
      <c r="J4" s="1"/>
      <c r="K4" s="7"/>
      <c r="L4" s="1"/>
      <c r="M4" s="1"/>
      <c r="N4" s="1"/>
    </row>
    <row r="5" spans="1:16" ht="15.75" thickTop="1">
      <c r="A5" s="14" t="s">
        <v>157</v>
      </c>
      <c r="B5" s="15"/>
      <c r="C5" s="15"/>
      <c r="D5" s="15"/>
      <c r="E5" s="15"/>
      <c r="F5" s="15"/>
      <c r="G5" s="6"/>
      <c r="H5" s="3"/>
      <c r="K5" s="6"/>
    </row>
    <row r="6" spans="1:16">
      <c r="A6" s="130"/>
      <c r="B6" s="139" t="s">
        <v>191</v>
      </c>
      <c r="C6" s="139"/>
      <c r="D6" s="139"/>
      <c r="E6" s="139"/>
      <c r="F6" s="139"/>
      <c r="G6" s="6"/>
      <c r="H6" s="3"/>
      <c r="K6" s="6"/>
    </row>
    <row r="7" spans="1:16" ht="15.75" thickBot="1">
      <c r="A7" s="13" t="s">
        <v>58</v>
      </c>
      <c r="B7" s="13" t="s">
        <v>9</v>
      </c>
      <c r="C7" s="13" t="s">
        <v>158</v>
      </c>
      <c r="D7" s="13" t="s">
        <v>8</v>
      </c>
      <c r="E7" s="136">
        <v>500000</v>
      </c>
      <c r="F7" s="148" t="s">
        <v>54</v>
      </c>
      <c r="G7" s="7"/>
      <c r="H7" s="1"/>
      <c r="I7" s="1"/>
      <c r="J7" s="1"/>
      <c r="K7" s="7"/>
      <c r="L7" s="1"/>
      <c r="M7" s="1"/>
      <c r="N7" s="1"/>
    </row>
    <row r="8" spans="1:16" ht="15.75" thickTop="1">
      <c r="A8" s="14" t="s">
        <v>159</v>
      </c>
      <c r="B8" s="15"/>
      <c r="C8" s="15"/>
      <c r="D8" s="15"/>
      <c r="E8" s="15"/>
      <c r="F8" s="139"/>
      <c r="G8" s="6"/>
      <c r="H8" s="3"/>
      <c r="I8" s="194">
        <v>250000</v>
      </c>
      <c r="J8" s="14">
        <v>250000</v>
      </c>
      <c r="K8" s="6"/>
    </row>
    <row r="9" spans="1:16">
      <c r="A9" s="14"/>
      <c r="B9" s="15"/>
      <c r="C9" s="15"/>
      <c r="D9" s="15"/>
      <c r="E9" s="15"/>
      <c r="F9" s="140"/>
      <c r="G9" s="6"/>
      <c r="H9" s="3"/>
      <c r="K9" s="6"/>
    </row>
    <row r="10" spans="1:16" ht="15.75" thickBot="1">
      <c r="A10" s="13" t="s">
        <v>160</v>
      </c>
      <c r="B10" s="13" t="s">
        <v>27</v>
      </c>
      <c r="C10" s="13" t="s">
        <v>158</v>
      </c>
      <c r="D10" s="13" t="s">
        <v>8</v>
      </c>
      <c r="E10" s="136">
        <v>3530000</v>
      </c>
      <c r="F10" s="148" t="s">
        <v>54</v>
      </c>
      <c r="G10" s="7"/>
      <c r="H10" s="1"/>
      <c r="I10" s="1"/>
      <c r="J10" s="1"/>
      <c r="K10" s="7"/>
      <c r="L10" s="1"/>
      <c r="M10" s="1"/>
      <c r="N10" s="1"/>
    </row>
    <row r="11" spans="1:16" ht="15.75" thickTop="1">
      <c r="A11" s="15"/>
      <c r="B11" s="15"/>
      <c r="C11" s="15"/>
      <c r="D11" s="15"/>
      <c r="E11" s="15"/>
      <c r="F11" s="139"/>
      <c r="G11" s="6"/>
      <c r="H11" s="3"/>
      <c r="K11" s="6"/>
      <c r="O11" s="6"/>
    </row>
    <row r="12" spans="1:16">
      <c r="A12" s="15" t="s">
        <v>161</v>
      </c>
      <c r="B12" s="15"/>
      <c r="C12" s="15"/>
      <c r="D12" s="15"/>
      <c r="E12" s="15"/>
      <c r="F12" s="139"/>
      <c r="G12" s="6"/>
      <c r="H12" s="3"/>
      <c r="K12" s="6"/>
      <c r="L12" s="15"/>
      <c r="M12" s="15"/>
      <c r="N12" s="15"/>
      <c r="O12" s="17"/>
    </row>
    <row r="13" spans="1:16" ht="45">
      <c r="A13" s="131" t="s">
        <v>162</v>
      </c>
      <c r="B13" s="132" t="s">
        <v>140</v>
      </c>
      <c r="C13" s="132" t="s">
        <v>158</v>
      </c>
      <c r="D13" s="132" t="s">
        <v>8</v>
      </c>
      <c r="E13" s="133">
        <v>752641</v>
      </c>
      <c r="F13" s="139"/>
      <c r="G13" s="6"/>
      <c r="H13" s="3"/>
      <c r="K13" s="6"/>
      <c r="L13" s="133">
        <f>$E13/3</f>
        <v>250880.33333333334</v>
      </c>
      <c r="M13" s="133">
        <f t="shared" ref="M13:N13" si="0">$E13/3</f>
        <v>250880.33333333334</v>
      </c>
      <c r="N13" s="133">
        <f t="shared" si="0"/>
        <v>250880.33333333334</v>
      </c>
      <c r="O13" s="17"/>
    </row>
    <row r="14" spans="1:16">
      <c r="A14" s="15"/>
      <c r="B14" s="15"/>
      <c r="C14" s="15"/>
      <c r="D14" s="15"/>
      <c r="E14" s="15"/>
      <c r="F14" s="139"/>
      <c r="G14" s="6"/>
      <c r="H14" s="3"/>
      <c r="K14" s="6"/>
      <c r="L14" s="15"/>
      <c r="M14" s="15"/>
      <c r="N14" s="15"/>
      <c r="O14" s="17"/>
    </row>
    <row r="15" spans="1:16">
      <c r="A15" s="15" t="s">
        <v>163</v>
      </c>
      <c r="B15" s="15"/>
      <c r="C15" s="15"/>
      <c r="D15" s="15"/>
      <c r="E15" s="15"/>
      <c r="F15" s="139"/>
      <c r="G15" s="6"/>
      <c r="H15" s="3"/>
      <c r="K15" s="6"/>
      <c r="L15" s="15"/>
      <c r="M15" s="15"/>
      <c r="N15" s="15"/>
      <c r="O15" s="17"/>
    </row>
    <row r="16" spans="1:16" ht="45">
      <c r="A16" s="131" t="s">
        <v>164</v>
      </c>
      <c r="B16" s="132" t="s">
        <v>140</v>
      </c>
      <c r="C16" s="132" t="s">
        <v>158</v>
      </c>
      <c r="D16" s="132" t="s">
        <v>8</v>
      </c>
      <c r="E16" s="133">
        <v>1711513</v>
      </c>
      <c r="F16" s="139"/>
      <c r="G16" s="6"/>
      <c r="H16" s="3"/>
      <c r="K16" s="6"/>
      <c r="L16" s="133">
        <f>$E16/3</f>
        <v>570504.33333333337</v>
      </c>
      <c r="M16" s="133">
        <f t="shared" ref="M16:N16" si="1">$E16/3</f>
        <v>570504.33333333337</v>
      </c>
      <c r="N16" s="133">
        <f t="shared" si="1"/>
        <v>570504.33333333337</v>
      </c>
      <c r="O16" s="17"/>
    </row>
    <row r="17" spans="1:16">
      <c r="A17" s="134"/>
      <c r="B17" s="15"/>
      <c r="C17" s="15"/>
      <c r="D17" s="15"/>
      <c r="E17" s="15"/>
      <c r="F17" s="139"/>
      <c r="G17" s="6"/>
      <c r="H17" s="3"/>
      <c r="K17" s="6"/>
      <c r="L17" s="15"/>
      <c r="M17" s="15"/>
      <c r="N17" s="15"/>
      <c r="O17" s="17"/>
    </row>
    <row r="18" spans="1:16">
      <c r="A18" s="15" t="s">
        <v>165</v>
      </c>
      <c r="B18" s="15"/>
      <c r="C18" s="15"/>
      <c r="D18" s="15"/>
      <c r="E18" s="15"/>
      <c r="F18" s="139"/>
      <c r="G18" s="6"/>
      <c r="H18" s="3"/>
      <c r="K18" s="6"/>
      <c r="L18" s="15"/>
      <c r="M18" s="15"/>
      <c r="N18" s="15"/>
      <c r="O18" s="17"/>
    </row>
    <row r="19" spans="1:16">
      <c r="A19" s="135" t="s">
        <v>166</v>
      </c>
      <c r="B19" s="132" t="s">
        <v>140</v>
      </c>
      <c r="C19" s="132" t="s">
        <v>158</v>
      </c>
      <c r="D19" s="132" t="s">
        <v>8</v>
      </c>
      <c r="E19" s="56">
        <v>622380</v>
      </c>
      <c r="F19" s="139"/>
      <c r="G19" s="6"/>
      <c r="H19" s="3"/>
      <c r="K19" s="6"/>
      <c r="L19" s="133">
        <f>$E19/3</f>
        <v>207460</v>
      </c>
      <c r="M19" s="133">
        <f t="shared" ref="M19:N19" si="2">$E19/3</f>
        <v>207460</v>
      </c>
      <c r="N19" s="133">
        <f t="shared" si="2"/>
        <v>207460</v>
      </c>
      <c r="O19" s="17"/>
    </row>
    <row r="20" spans="1:16">
      <c r="A20" s="134"/>
      <c r="B20" s="15"/>
      <c r="C20" s="15"/>
      <c r="D20" s="15"/>
      <c r="E20" s="15"/>
      <c r="F20" s="139"/>
      <c r="G20" s="6"/>
      <c r="H20" s="3"/>
      <c r="K20" s="6"/>
      <c r="L20" s="15"/>
      <c r="M20" s="15"/>
      <c r="N20" s="15"/>
      <c r="O20" s="17"/>
    </row>
    <row r="21" spans="1:16">
      <c r="A21" s="15" t="s">
        <v>167</v>
      </c>
      <c r="B21" s="15"/>
      <c r="C21" s="15"/>
      <c r="D21" s="15"/>
      <c r="E21" s="15"/>
      <c r="F21" s="139"/>
      <c r="G21" s="6"/>
      <c r="H21" s="3"/>
      <c r="K21" s="6"/>
      <c r="L21" s="15"/>
      <c r="M21" s="15"/>
      <c r="N21" s="15"/>
      <c r="O21" s="17"/>
    </row>
    <row r="22" spans="1:16" ht="30">
      <c r="A22" s="131" t="s">
        <v>168</v>
      </c>
      <c r="B22" s="132" t="s">
        <v>140</v>
      </c>
      <c r="C22" s="132" t="s">
        <v>158</v>
      </c>
      <c r="D22" s="132" t="s">
        <v>8</v>
      </c>
      <c r="E22" s="133">
        <v>439079</v>
      </c>
      <c r="G22" s="6"/>
      <c r="H22" s="3"/>
      <c r="I22" s="15"/>
      <c r="J22" s="15"/>
      <c r="K22" s="6"/>
      <c r="L22" s="133">
        <f>$E22/3</f>
        <v>146359.66666666666</v>
      </c>
      <c r="M22" s="133">
        <f t="shared" ref="M22:N22" si="3">$E22/3</f>
        <v>146359.66666666666</v>
      </c>
      <c r="N22" s="133">
        <f t="shared" si="3"/>
        <v>146359.66666666666</v>
      </c>
      <c r="O22" s="17"/>
    </row>
    <row r="23" spans="1:16">
      <c r="A23" s="15"/>
      <c r="B23" s="15"/>
      <c r="C23" s="15"/>
      <c r="D23" s="15"/>
      <c r="E23" s="15"/>
      <c r="F23" s="15"/>
      <c r="G23" s="6"/>
      <c r="H23" s="3"/>
      <c r="K23" s="6"/>
      <c r="O23" s="6"/>
    </row>
    <row r="24" spans="1:16">
      <c r="A24" s="55" t="s">
        <v>190</v>
      </c>
      <c r="B24" s="55"/>
      <c r="C24" s="55"/>
      <c r="D24" s="55"/>
      <c r="E24" s="147">
        <f>SUM(E13:E22)</f>
        <v>3525613</v>
      </c>
      <c r="F24" s="15"/>
      <c r="N24" s="10">
        <f>E10-E24</f>
        <v>4387</v>
      </c>
    </row>
    <row r="25" spans="1:16">
      <c r="A25" s="15"/>
      <c r="B25" s="15"/>
      <c r="C25" s="15"/>
      <c r="D25" s="15"/>
      <c r="E25" s="15"/>
      <c r="F25" s="15"/>
    </row>
    <row r="26" spans="1:16">
      <c r="A26" s="15" t="s">
        <v>186</v>
      </c>
      <c r="B26" s="15"/>
      <c r="C26" s="15"/>
      <c r="D26" s="15"/>
      <c r="E26" s="22">
        <f>E10+E7</f>
        <v>4030000</v>
      </c>
      <c r="F26" s="15"/>
      <c r="I26" s="10">
        <f>SUM(I8:I25)</f>
        <v>250000</v>
      </c>
      <c r="J26" s="10">
        <f t="shared" ref="J26:N26" si="4">SUM(J8:J25)</f>
        <v>250000</v>
      </c>
      <c r="K26" s="10">
        <f t="shared" si="4"/>
        <v>0</v>
      </c>
      <c r="L26" s="10">
        <f t="shared" si="4"/>
        <v>1175204.3333333335</v>
      </c>
      <c r="M26" s="10">
        <f t="shared" si="4"/>
        <v>1175204.3333333335</v>
      </c>
      <c r="N26" s="10">
        <f t="shared" si="4"/>
        <v>1179591.3333333335</v>
      </c>
      <c r="O26" s="10"/>
      <c r="P26" s="10"/>
    </row>
    <row r="27" spans="1:16">
      <c r="A27" s="15" t="s">
        <v>172</v>
      </c>
      <c r="B27" s="15"/>
      <c r="C27" s="15"/>
      <c r="D27" s="15"/>
      <c r="E27" s="22">
        <f>E26*0.035</f>
        <v>141050</v>
      </c>
      <c r="F27" s="15"/>
      <c r="I27" s="10">
        <f>I26*0.035</f>
        <v>8750</v>
      </c>
      <c r="J27" s="10">
        <f t="shared" ref="J27:N27" si="5">J26*0.035</f>
        <v>8750</v>
      </c>
      <c r="K27" s="10">
        <f t="shared" si="5"/>
        <v>0</v>
      </c>
      <c r="L27" s="10">
        <f t="shared" si="5"/>
        <v>41132.151666666679</v>
      </c>
      <c r="M27" s="10">
        <f t="shared" si="5"/>
        <v>41132.151666666679</v>
      </c>
      <c r="N27" s="10">
        <f t="shared" si="5"/>
        <v>41285.696666666678</v>
      </c>
      <c r="O27" s="10"/>
      <c r="P27" s="10"/>
    </row>
    <row r="28" spans="1:16">
      <c r="A28" s="15"/>
      <c r="B28" s="15"/>
      <c r="C28" s="15"/>
      <c r="D28" s="15"/>
      <c r="E28" s="22"/>
      <c r="F28" s="15"/>
      <c r="I28" s="10"/>
      <c r="J28" s="10"/>
      <c r="K28" s="10"/>
      <c r="L28" s="10"/>
      <c r="M28" s="10"/>
      <c r="N28" s="10"/>
      <c r="O28" s="10"/>
      <c r="P28" s="10"/>
    </row>
    <row r="29" spans="1:16">
      <c r="A29" s="15" t="s">
        <v>21</v>
      </c>
      <c r="B29" s="15"/>
      <c r="C29" s="15"/>
      <c r="D29" s="15"/>
      <c r="E29" s="22">
        <f>E26+E27</f>
        <v>4171050</v>
      </c>
      <c r="F29" s="15"/>
      <c r="I29" s="10">
        <f>I26+I27</f>
        <v>258750</v>
      </c>
      <c r="J29" s="10">
        <f t="shared" ref="J29:N29" si="6">J26+J27</f>
        <v>258750</v>
      </c>
      <c r="K29" s="10">
        <f t="shared" si="6"/>
        <v>0</v>
      </c>
      <c r="L29" s="10">
        <f t="shared" si="6"/>
        <v>1216336.4850000001</v>
      </c>
      <c r="M29" s="10">
        <f t="shared" si="6"/>
        <v>1216336.4850000001</v>
      </c>
      <c r="N29" s="10">
        <f t="shared" si="6"/>
        <v>1220877.0300000003</v>
      </c>
      <c r="O29" s="10"/>
      <c r="P29" s="181">
        <f>SUM(I29:O29)</f>
        <v>4171050.0000000005</v>
      </c>
    </row>
    <row r="30" spans="1:16">
      <c r="A30" s="15"/>
      <c r="B30" s="15"/>
      <c r="C30" s="15"/>
      <c r="D30" s="15"/>
      <c r="E30" s="22"/>
      <c r="F30" s="15"/>
    </row>
    <row r="31" spans="1:16">
      <c r="A31" s="15" t="s">
        <v>13</v>
      </c>
      <c r="B31" s="15"/>
      <c r="C31" s="15"/>
      <c r="D31" s="15"/>
      <c r="E31" s="22">
        <f>E29*0.8</f>
        <v>3336840</v>
      </c>
      <c r="F31" s="137">
        <f>E31/E29</f>
        <v>0.8</v>
      </c>
    </row>
    <row r="32" spans="1:16">
      <c r="A32" s="15"/>
      <c r="B32" s="15"/>
      <c r="C32" s="15"/>
      <c r="D32" s="15"/>
      <c r="E32" s="15"/>
      <c r="F32" s="15"/>
    </row>
    <row r="33" spans="1:29">
      <c r="A33" s="15" t="s">
        <v>184</v>
      </c>
      <c r="B33" s="15"/>
      <c r="C33" s="15"/>
      <c r="D33" s="15"/>
      <c r="E33" s="22">
        <f>E29-E31</f>
        <v>834210</v>
      </c>
      <c r="F33" s="137">
        <f>E33/E29</f>
        <v>0.2</v>
      </c>
    </row>
    <row r="35" spans="1:29">
      <c r="A35" s="21"/>
      <c r="B35" s="15"/>
      <c r="C35" s="15"/>
      <c r="D35" s="15"/>
      <c r="E35" s="22"/>
      <c r="F35" s="15"/>
      <c r="N35" s="10"/>
      <c r="S35" s="10"/>
      <c r="X35" s="10"/>
      <c r="AC35" s="10">
        <f>$E35*6</f>
        <v>0</v>
      </c>
    </row>
    <row r="36" spans="1:29">
      <c r="A36" s="21"/>
      <c r="B36" s="15"/>
      <c r="C36" s="15"/>
      <c r="D36" s="15"/>
      <c r="E36" s="22"/>
      <c r="F36" s="15"/>
      <c r="S36" s="10"/>
      <c r="AC36" s="10">
        <f>$E36*6</f>
        <v>0</v>
      </c>
    </row>
  </sheetData>
  <mergeCells count="3">
    <mergeCell ref="M1:P1"/>
    <mergeCell ref="G2:J2"/>
    <mergeCell ref="K2:N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D40"/>
  <sheetViews>
    <sheetView zoomScale="75" zoomScaleNormal="75" workbookViewId="0">
      <selection activeCell="C42" sqref="C42"/>
    </sheetView>
  </sheetViews>
  <sheetFormatPr defaultRowHeight="15"/>
  <cols>
    <col min="1" max="1" width="46.140625" customWidth="1"/>
    <col min="2" max="4" width="13.42578125" customWidth="1"/>
    <col min="5" max="5" width="14.42578125" customWidth="1"/>
    <col min="6" max="6" width="15.28515625" customWidth="1"/>
    <col min="7" max="8" width="9.5703125" bestFit="1" customWidth="1"/>
    <col min="9" max="14" width="13.85546875" bestFit="1" customWidth="1"/>
    <col min="15" max="15" width="12.42578125" customWidth="1"/>
    <col min="16" max="16" width="15.7109375" bestFit="1" customWidth="1"/>
    <col min="17" max="17" width="13.85546875" bestFit="1" customWidth="1"/>
    <col min="18" max="18" width="15.7109375" bestFit="1" customWidth="1"/>
    <col min="19" max="19" width="13.140625" customWidth="1"/>
    <col min="20" max="20" width="15.7109375" bestFit="1" customWidth="1"/>
    <col min="21" max="21" width="13.85546875" bestFit="1" customWidth="1"/>
    <col min="22" max="23" width="15.7109375" bestFit="1" customWidth="1"/>
    <col min="24" max="24" width="13.7109375" customWidth="1"/>
    <col min="25" max="25" width="15.7109375" bestFit="1" customWidth="1"/>
    <col min="27" max="27" width="13.42578125" customWidth="1"/>
    <col min="28" max="28" width="16.42578125" customWidth="1"/>
    <col min="29" max="29" width="10.28515625" customWidth="1"/>
  </cols>
  <sheetData>
    <row r="1" spans="1:28">
      <c r="A1" s="76" t="s">
        <v>76</v>
      </c>
      <c r="Y1" s="218" t="s">
        <v>156</v>
      </c>
      <c r="Z1" s="220"/>
      <c r="AA1" s="220"/>
      <c r="AB1" s="220"/>
    </row>
    <row r="2" spans="1:28">
      <c r="A2" t="s">
        <v>0</v>
      </c>
      <c r="G2" s="218" t="s">
        <v>23</v>
      </c>
      <c r="H2" s="220"/>
      <c r="I2" s="220"/>
      <c r="J2" s="220"/>
      <c r="K2" s="218" t="s">
        <v>10</v>
      </c>
      <c r="L2" s="220"/>
      <c r="M2" s="220"/>
      <c r="N2" s="220"/>
      <c r="O2" s="218" t="s">
        <v>11</v>
      </c>
      <c r="P2" s="220"/>
      <c r="Q2" s="220"/>
      <c r="R2" s="220"/>
      <c r="S2" s="218" t="s">
        <v>12</v>
      </c>
      <c r="T2" s="220"/>
      <c r="U2" s="220"/>
      <c r="V2" s="220"/>
      <c r="W2" s="218" t="s">
        <v>19</v>
      </c>
      <c r="X2" s="220"/>
      <c r="Y2" s="220"/>
      <c r="Z2" s="220"/>
      <c r="AA2" s="210"/>
    </row>
    <row r="3" spans="1:28">
      <c r="G3" s="53" t="s">
        <v>15</v>
      </c>
      <c r="H3" s="11" t="s">
        <v>16</v>
      </c>
      <c r="I3" s="54" t="s">
        <v>17</v>
      </c>
      <c r="J3" s="54" t="s">
        <v>18</v>
      </c>
      <c r="K3" s="53" t="s">
        <v>15</v>
      </c>
      <c r="L3" s="11" t="s">
        <v>16</v>
      </c>
      <c r="M3" s="54" t="s">
        <v>17</v>
      </c>
      <c r="N3" s="54" t="s">
        <v>18</v>
      </c>
      <c r="O3" s="53" t="s">
        <v>15</v>
      </c>
      <c r="P3" s="11" t="s">
        <v>16</v>
      </c>
      <c r="Q3" s="54" t="s">
        <v>17</v>
      </c>
      <c r="R3" s="54" t="s">
        <v>18</v>
      </c>
      <c r="S3" s="53" t="s">
        <v>15</v>
      </c>
      <c r="T3" s="11" t="s">
        <v>16</v>
      </c>
      <c r="U3" s="54" t="s">
        <v>17</v>
      </c>
      <c r="V3" s="54" t="s">
        <v>18</v>
      </c>
      <c r="W3" s="53" t="s">
        <v>15</v>
      </c>
      <c r="X3" s="11" t="s">
        <v>16</v>
      </c>
      <c r="Y3" s="54" t="s">
        <v>17</v>
      </c>
      <c r="Z3" s="54" t="s">
        <v>18</v>
      </c>
      <c r="AA3" s="211"/>
    </row>
    <row r="4" spans="1:28" ht="15.75" thickBot="1">
      <c r="A4" s="77" t="s">
        <v>6</v>
      </c>
      <c r="B4" s="77" t="s">
        <v>1</v>
      </c>
      <c r="C4" s="77" t="s">
        <v>2</v>
      </c>
      <c r="D4" s="77" t="s">
        <v>3</v>
      </c>
      <c r="E4" s="77" t="s">
        <v>4</v>
      </c>
      <c r="F4" s="77" t="s">
        <v>5</v>
      </c>
      <c r="G4" s="78"/>
      <c r="H4" s="79"/>
      <c r="I4" s="79"/>
      <c r="J4" s="79"/>
      <c r="K4" s="78"/>
      <c r="L4" s="79"/>
      <c r="M4" s="79"/>
      <c r="N4" s="79"/>
      <c r="O4" s="78"/>
      <c r="P4" s="79"/>
      <c r="Q4" s="79"/>
      <c r="R4" s="79"/>
      <c r="S4" s="78"/>
      <c r="T4" s="79"/>
      <c r="U4" s="79"/>
      <c r="V4" s="79"/>
      <c r="W4" s="78"/>
      <c r="X4" s="79"/>
      <c r="Y4" s="79"/>
      <c r="Z4" s="79"/>
      <c r="AA4" s="210"/>
    </row>
    <row r="5" spans="1:28" ht="15.75" thickTop="1">
      <c r="A5" t="s">
        <v>77</v>
      </c>
      <c r="G5" s="6"/>
      <c r="H5" s="3"/>
      <c r="K5" s="6"/>
      <c r="O5" s="6"/>
      <c r="S5" s="6"/>
      <c r="W5" s="6"/>
      <c r="AA5" s="139"/>
    </row>
    <row r="6" spans="1:28">
      <c r="A6" t="s">
        <v>78</v>
      </c>
      <c r="G6" s="6"/>
      <c r="H6" s="3"/>
      <c r="K6" s="6"/>
      <c r="O6" s="6"/>
      <c r="S6" s="6"/>
      <c r="W6" s="6"/>
      <c r="AA6" s="139"/>
    </row>
    <row r="7" spans="1:28">
      <c r="A7" s="4"/>
      <c r="G7" s="6"/>
      <c r="H7" s="3"/>
      <c r="K7" s="6"/>
      <c r="O7" s="6"/>
      <c r="S7" s="6"/>
      <c r="W7" s="6"/>
      <c r="AA7" s="180"/>
    </row>
    <row r="8" spans="1:28" ht="15.75" thickBot="1">
      <c r="A8" s="80" t="s">
        <v>36</v>
      </c>
      <c r="B8" s="79" t="s">
        <v>9</v>
      </c>
      <c r="C8" s="79" t="s">
        <v>7</v>
      </c>
      <c r="D8" s="79" t="s">
        <v>7</v>
      </c>
      <c r="E8" s="81">
        <f>SUM(E9:E12)</f>
        <v>210000</v>
      </c>
      <c r="F8" s="138" t="s">
        <v>54</v>
      </c>
      <c r="G8" s="78"/>
      <c r="H8" s="79"/>
      <c r="I8" s="79"/>
      <c r="J8" s="79"/>
      <c r="K8" s="78"/>
      <c r="L8" s="79"/>
      <c r="M8" s="79"/>
      <c r="N8" s="79"/>
      <c r="O8" s="78"/>
      <c r="P8" s="79"/>
      <c r="Q8" s="79"/>
      <c r="R8" s="79"/>
      <c r="S8" s="78"/>
      <c r="T8" s="79"/>
      <c r="U8" s="79"/>
      <c r="V8" s="79"/>
      <c r="W8" s="78"/>
      <c r="X8" s="79"/>
      <c r="Y8" s="79"/>
      <c r="Z8" s="79"/>
      <c r="AA8" s="180"/>
    </row>
    <row r="9" spans="1:28" s="15" customFormat="1" ht="15.75" thickTop="1">
      <c r="A9" s="66" t="s">
        <v>79</v>
      </c>
      <c r="E9" s="67">
        <v>50000</v>
      </c>
      <c r="F9" s="140"/>
      <c r="G9" s="68"/>
      <c r="H9" s="69"/>
      <c r="I9" s="69">
        <f>E9/2</f>
        <v>25000</v>
      </c>
      <c r="J9" s="71">
        <f>E9/2</f>
        <v>25000</v>
      </c>
      <c r="K9" s="17"/>
      <c r="O9" s="17"/>
      <c r="S9" s="17"/>
      <c r="W9" s="17"/>
      <c r="AA9" s="180">
        <f t="shared" ref="AA9:AA31" si="0">SUM(G9:Z9)</f>
        <v>50000</v>
      </c>
      <c r="AB9" s="70"/>
    </row>
    <row r="10" spans="1:28" s="15" customFormat="1">
      <c r="A10" s="66" t="s">
        <v>80</v>
      </c>
      <c r="E10" s="67">
        <v>10000</v>
      </c>
      <c r="F10" s="140"/>
      <c r="G10" s="68"/>
      <c r="H10" s="71"/>
      <c r="I10" s="70">
        <f>E10/2</f>
        <v>5000</v>
      </c>
      <c r="J10" s="71">
        <f>E10/2</f>
        <v>5000</v>
      </c>
      <c r="K10" s="17"/>
      <c r="O10" s="17"/>
      <c r="S10" s="17"/>
      <c r="W10" s="17"/>
      <c r="AA10" s="180">
        <f t="shared" si="0"/>
        <v>10000</v>
      </c>
      <c r="AB10" s="70"/>
    </row>
    <row r="11" spans="1:28" s="15" customFormat="1">
      <c r="A11" s="14" t="s">
        <v>81</v>
      </c>
      <c r="E11" s="67">
        <v>150000</v>
      </c>
      <c r="F11" s="140"/>
      <c r="G11" s="68"/>
      <c r="H11" s="71"/>
      <c r="I11" s="71">
        <f>E11/2</f>
        <v>75000</v>
      </c>
      <c r="J11" s="71">
        <f>E11/2</f>
        <v>75000</v>
      </c>
      <c r="K11" s="17"/>
      <c r="O11" s="17"/>
      <c r="S11" s="17"/>
      <c r="W11" s="17"/>
      <c r="AA11" s="180">
        <f t="shared" si="0"/>
        <v>150000</v>
      </c>
      <c r="AB11" s="70"/>
    </row>
    <row r="12" spans="1:28" s="15" customFormat="1">
      <c r="A12" s="14"/>
      <c r="F12" s="140"/>
      <c r="G12" s="17"/>
      <c r="H12" s="14"/>
      <c r="K12" s="17"/>
      <c r="O12" s="17"/>
      <c r="S12" s="17"/>
      <c r="W12" s="17"/>
      <c r="AA12" s="180"/>
      <c r="AB12" s="70"/>
    </row>
    <row r="13" spans="1:28" ht="15.75" thickBot="1">
      <c r="A13" s="80" t="s">
        <v>82</v>
      </c>
      <c r="B13" s="79" t="s">
        <v>83</v>
      </c>
      <c r="C13" s="79" t="s">
        <v>7</v>
      </c>
      <c r="D13" s="79" t="s">
        <v>7</v>
      </c>
      <c r="E13" s="81">
        <f>SUM(E14:E19)</f>
        <v>3090000</v>
      </c>
      <c r="F13" s="138"/>
      <c r="G13" s="78"/>
      <c r="H13" s="79"/>
      <c r="I13" s="79"/>
      <c r="J13" s="79"/>
      <c r="K13" s="78"/>
      <c r="L13" s="79"/>
      <c r="M13" s="79"/>
      <c r="N13" s="79"/>
      <c r="O13" s="78"/>
      <c r="P13" s="79"/>
      <c r="Q13" s="79"/>
      <c r="R13" s="79"/>
      <c r="S13" s="78"/>
      <c r="T13" s="79"/>
      <c r="U13" s="79"/>
      <c r="V13" s="79"/>
      <c r="W13" s="78"/>
      <c r="X13" s="79"/>
      <c r="Y13" s="79"/>
      <c r="Z13" s="79"/>
      <c r="AA13" s="180"/>
      <c r="AB13" s="70"/>
    </row>
    <row r="14" spans="1:28" s="15" customFormat="1" ht="15.75" thickTop="1">
      <c r="A14" s="66" t="s">
        <v>79</v>
      </c>
      <c r="E14" s="67">
        <v>150000</v>
      </c>
      <c r="F14" s="140"/>
      <c r="G14" s="17"/>
      <c r="H14" s="14"/>
      <c r="K14" s="68">
        <f>($E$14/4)</f>
        <v>37500</v>
      </c>
      <c r="L14" s="69">
        <f>($E$14/4)</f>
        <v>37500</v>
      </c>
      <c r="M14" s="69">
        <f>($E$14/4)</f>
        <v>37500</v>
      </c>
      <c r="N14" s="71">
        <f>($E$14/4)</f>
        <v>37500</v>
      </c>
      <c r="O14" s="17"/>
      <c r="S14" s="17"/>
      <c r="W14" s="17"/>
      <c r="AA14" s="180">
        <f t="shared" si="0"/>
        <v>150000</v>
      </c>
      <c r="AB14" s="70"/>
    </row>
    <row r="15" spans="1:28" s="15" customFormat="1">
      <c r="A15" s="14" t="s">
        <v>97</v>
      </c>
      <c r="E15" s="67">
        <f>ROUND(0.035*SUM(E8,E14,E16:E18,E20,E23,E30),-4)</f>
        <v>600000</v>
      </c>
      <c r="F15" s="140"/>
      <c r="G15" s="17"/>
      <c r="H15" s="14"/>
      <c r="K15" s="68">
        <f t="shared" ref="K15:Y15" si="1">$E15/15</f>
        <v>40000</v>
      </c>
      <c r="L15" s="71">
        <f t="shared" si="1"/>
        <v>40000</v>
      </c>
      <c r="M15" s="71">
        <f t="shared" si="1"/>
        <v>40000</v>
      </c>
      <c r="N15" s="71">
        <f t="shared" si="1"/>
        <v>40000</v>
      </c>
      <c r="O15" s="68">
        <f t="shared" si="1"/>
        <v>40000</v>
      </c>
      <c r="P15" s="70">
        <f t="shared" si="1"/>
        <v>40000</v>
      </c>
      <c r="Q15" s="70">
        <f t="shared" si="1"/>
        <v>40000</v>
      </c>
      <c r="R15" s="70">
        <f t="shared" si="1"/>
        <v>40000</v>
      </c>
      <c r="S15" s="68">
        <f t="shared" si="1"/>
        <v>40000</v>
      </c>
      <c r="T15" s="70">
        <f t="shared" si="1"/>
        <v>40000</v>
      </c>
      <c r="U15" s="70">
        <f t="shared" si="1"/>
        <v>40000</v>
      </c>
      <c r="V15" s="70">
        <f t="shared" si="1"/>
        <v>40000</v>
      </c>
      <c r="W15" s="68">
        <f t="shared" si="1"/>
        <v>40000</v>
      </c>
      <c r="X15" s="70">
        <f t="shared" si="1"/>
        <v>40000</v>
      </c>
      <c r="Y15" s="70">
        <f t="shared" si="1"/>
        <v>40000</v>
      </c>
      <c r="AA15" s="180">
        <f t="shared" si="0"/>
        <v>600000</v>
      </c>
      <c r="AB15" s="70"/>
    </row>
    <row r="16" spans="1:28" s="15" customFormat="1">
      <c r="A16" s="66" t="s">
        <v>80</v>
      </c>
      <c r="E16" s="67">
        <v>100000</v>
      </c>
      <c r="F16" s="140"/>
      <c r="G16" s="17"/>
      <c r="H16" s="14"/>
      <c r="K16" s="68">
        <f>($E$16/4)</f>
        <v>25000</v>
      </c>
      <c r="L16" s="71">
        <f>($E$16/4)</f>
        <v>25000</v>
      </c>
      <c r="M16" s="71">
        <f>($E$16/4)</f>
        <v>25000</v>
      </c>
      <c r="N16" s="71">
        <f>($E$16/4)</f>
        <v>25000</v>
      </c>
      <c r="O16" s="17"/>
      <c r="S16" s="17"/>
      <c r="W16" s="17"/>
      <c r="AA16" s="180">
        <f t="shared" si="0"/>
        <v>100000</v>
      </c>
      <c r="AB16" s="70"/>
    </row>
    <row r="17" spans="1:30" s="15" customFormat="1">
      <c r="A17" s="14" t="s">
        <v>84</v>
      </c>
      <c r="E17" s="67">
        <v>1390000</v>
      </c>
      <c r="F17" s="140"/>
      <c r="G17" s="17"/>
      <c r="H17" s="14"/>
      <c r="K17" s="68">
        <f>($E$17/4)</f>
        <v>347500</v>
      </c>
      <c r="L17" s="71">
        <f>($E$17/4)</f>
        <v>347500</v>
      </c>
      <c r="M17" s="71">
        <f>($E$17/4)</f>
        <v>347500</v>
      </c>
      <c r="N17" s="71">
        <f>($E$17/4)</f>
        <v>347500</v>
      </c>
      <c r="O17" s="17"/>
      <c r="S17" s="17"/>
      <c r="W17" s="17"/>
      <c r="AA17" s="180">
        <f t="shared" si="0"/>
        <v>1390000</v>
      </c>
      <c r="AB17" s="70"/>
    </row>
    <row r="18" spans="1:30" s="15" customFormat="1">
      <c r="A18" s="14" t="s">
        <v>85</v>
      </c>
      <c r="E18" s="67">
        <v>850000</v>
      </c>
      <c r="F18" s="140"/>
      <c r="G18" s="17"/>
      <c r="H18" s="14"/>
      <c r="K18" s="68"/>
      <c r="L18" s="71"/>
      <c r="M18" s="71"/>
      <c r="N18" s="71"/>
      <c r="O18" s="68">
        <v>75000</v>
      </c>
      <c r="P18" s="70">
        <v>75000</v>
      </c>
      <c r="Q18" s="70">
        <v>75000</v>
      </c>
      <c r="R18" s="70">
        <v>75000</v>
      </c>
      <c r="S18" s="68">
        <v>75000</v>
      </c>
      <c r="T18" s="70">
        <v>75000</v>
      </c>
      <c r="U18" s="70">
        <v>80000</v>
      </c>
      <c r="V18" s="70">
        <v>80000</v>
      </c>
      <c r="W18" s="68">
        <v>80000</v>
      </c>
      <c r="X18" s="70">
        <v>80000</v>
      </c>
      <c r="Y18" s="70">
        <v>80000</v>
      </c>
      <c r="AA18" s="180">
        <f t="shared" si="0"/>
        <v>850000</v>
      </c>
      <c r="AB18" s="70"/>
    </row>
    <row r="19" spans="1:30" s="15" customFormat="1">
      <c r="A19" s="14"/>
      <c r="F19" s="140"/>
      <c r="G19" s="17"/>
      <c r="H19" s="14"/>
      <c r="K19" s="17"/>
      <c r="O19" s="17"/>
      <c r="S19" s="17"/>
      <c r="W19" s="17"/>
      <c r="AA19" s="180"/>
      <c r="AB19" s="70"/>
    </row>
    <row r="20" spans="1:30" ht="15.75" thickBot="1">
      <c r="A20" s="80" t="s">
        <v>86</v>
      </c>
      <c r="B20" s="79" t="s">
        <v>87</v>
      </c>
      <c r="C20" s="79" t="s">
        <v>7</v>
      </c>
      <c r="D20" s="79" t="s">
        <v>7</v>
      </c>
      <c r="E20" s="81">
        <f>SUM(E21:E22)</f>
        <v>500000</v>
      </c>
      <c r="F20" s="138"/>
      <c r="G20" s="78"/>
      <c r="H20" s="79"/>
      <c r="I20" s="79"/>
      <c r="J20" s="79"/>
      <c r="K20" s="78"/>
      <c r="L20" s="79"/>
      <c r="M20" s="79"/>
      <c r="N20" s="79"/>
      <c r="O20" s="78"/>
      <c r="P20" s="79"/>
      <c r="Q20" s="79"/>
      <c r="R20" s="79"/>
      <c r="S20" s="78"/>
      <c r="T20" s="79"/>
      <c r="U20" s="79"/>
      <c r="V20" s="79"/>
      <c r="W20" s="78"/>
      <c r="X20" s="79"/>
      <c r="Y20" s="79"/>
      <c r="Z20" s="79"/>
      <c r="AA20" s="180"/>
      <c r="AB20" s="70"/>
    </row>
    <row r="21" spans="1:30" s="15" customFormat="1" ht="15.75" thickTop="1">
      <c r="A21" s="14" t="s">
        <v>88</v>
      </c>
      <c r="E21" s="67">
        <v>500000</v>
      </c>
      <c r="F21" s="140"/>
      <c r="G21" s="17"/>
      <c r="H21" s="14"/>
      <c r="K21" s="17"/>
      <c r="M21" s="70"/>
      <c r="N21" s="70">
        <v>500000</v>
      </c>
      <c r="O21" s="17"/>
      <c r="S21" s="17"/>
      <c r="W21" s="17"/>
      <c r="AA21" s="180">
        <f t="shared" si="0"/>
        <v>500000</v>
      </c>
      <c r="AB21" s="70"/>
    </row>
    <row r="22" spans="1:30" s="15" customFormat="1">
      <c r="A22" s="14"/>
      <c r="F22" s="140"/>
      <c r="G22" s="17"/>
      <c r="H22" s="14"/>
      <c r="K22" s="17"/>
      <c r="O22" s="17"/>
      <c r="S22" s="17"/>
      <c r="W22" s="17"/>
      <c r="AA22" s="180"/>
      <c r="AB22" s="70"/>
    </row>
    <row r="23" spans="1:30" ht="15.75" thickBot="1">
      <c r="A23" s="80" t="s">
        <v>89</v>
      </c>
      <c r="B23" s="79" t="s">
        <v>27</v>
      </c>
      <c r="C23" s="79" t="s">
        <v>7</v>
      </c>
      <c r="D23" s="79" t="s">
        <v>8</v>
      </c>
      <c r="E23" s="81">
        <f>SUM(E24:E29)</f>
        <v>13300000</v>
      </c>
      <c r="F23" s="138"/>
      <c r="G23" s="78"/>
      <c r="H23" s="79"/>
      <c r="I23" s="79"/>
      <c r="J23" s="79"/>
      <c r="K23" s="78"/>
      <c r="L23" s="79"/>
      <c r="M23" s="79"/>
      <c r="N23" s="79"/>
      <c r="O23" s="78"/>
      <c r="P23" s="79"/>
      <c r="Q23" s="79"/>
      <c r="R23" s="79"/>
      <c r="S23" s="78"/>
      <c r="T23" s="79"/>
      <c r="U23" s="79"/>
      <c r="V23" s="79"/>
      <c r="W23" s="78"/>
      <c r="X23" s="79"/>
      <c r="Y23" s="79"/>
      <c r="Z23" s="79"/>
      <c r="AA23" s="180"/>
      <c r="AB23" s="70"/>
    </row>
    <row r="24" spans="1:30" s="15" customFormat="1" ht="15.75" thickTop="1">
      <c r="A24" s="66" t="s">
        <v>90</v>
      </c>
      <c r="B24" s="14"/>
      <c r="C24" s="14"/>
      <c r="D24" s="14"/>
      <c r="E24" s="67">
        <v>2000000</v>
      </c>
      <c r="F24" s="161"/>
      <c r="G24" s="17"/>
      <c r="H24" s="14"/>
      <c r="I24" s="14"/>
      <c r="J24" s="14"/>
      <c r="K24" s="17"/>
      <c r="L24" s="14"/>
      <c r="M24" s="14"/>
      <c r="N24" s="14"/>
      <c r="O24" s="68">
        <f>($E$24/2)</f>
        <v>1000000</v>
      </c>
      <c r="P24" s="71">
        <f>($E$24/2)</f>
        <v>1000000</v>
      </c>
      <c r="Q24" s="14"/>
      <c r="R24" s="14"/>
      <c r="S24" s="17"/>
      <c r="T24" s="14"/>
      <c r="U24" s="14"/>
      <c r="V24" s="14"/>
      <c r="W24" s="17"/>
      <c r="X24" s="14"/>
      <c r="Y24" s="14"/>
      <c r="Z24" s="14"/>
      <c r="AA24" s="180">
        <f t="shared" si="0"/>
        <v>2000000</v>
      </c>
      <c r="AB24" s="70"/>
    </row>
    <row r="25" spans="1:30" s="15" customFormat="1">
      <c r="A25" s="14" t="s">
        <v>91</v>
      </c>
      <c r="B25" s="14"/>
      <c r="C25" s="14"/>
      <c r="D25" s="14"/>
      <c r="E25" s="67">
        <v>3250000</v>
      </c>
      <c r="F25" s="161"/>
      <c r="G25" s="17"/>
      <c r="H25" s="14"/>
      <c r="I25" s="14"/>
      <c r="J25" s="14"/>
      <c r="K25" s="17"/>
      <c r="L25" s="14"/>
      <c r="M25" s="14"/>
      <c r="N25" s="14"/>
      <c r="O25" s="17"/>
      <c r="P25" s="14"/>
      <c r="Q25" s="71">
        <f>($E$25/4)</f>
        <v>812500</v>
      </c>
      <c r="R25" s="71">
        <f>($E$25/4)</f>
        <v>812500</v>
      </c>
      <c r="S25" s="68">
        <f>($E$25/4)</f>
        <v>812500</v>
      </c>
      <c r="T25" s="71">
        <f>($E$25/4)</f>
        <v>812500</v>
      </c>
      <c r="U25" s="71"/>
      <c r="V25" s="71"/>
      <c r="W25" s="68"/>
      <c r="X25" s="71"/>
      <c r="Y25" s="71"/>
      <c r="Z25" s="14"/>
      <c r="AA25" s="180">
        <f t="shared" si="0"/>
        <v>3250000</v>
      </c>
      <c r="AB25" s="71"/>
      <c r="AC25" s="14"/>
      <c r="AD25" s="14"/>
    </row>
    <row r="26" spans="1:30" s="15" customFormat="1">
      <c r="A26" s="66" t="s">
        <v>92</v>
      </c>
      <c r="E26" s="67">
        <v>1250000</v>
      </c>
      <c r="F26" s="140"/>
      <c r="G26" s="17"/>
      <c r="H26" s="14"/>
      <c r="K26" s="17"/>
      <c r="O26" s="17"/>
      <c r="Q26" s="70"/>
      <c r="R26" s="70">
        <f>($E$26/12)*2</f>
        <v>208333.33333333334</v>
      </c>
      <c r="S26" s="68">
        <f>($E$26/12)*3</f>
        <v>312500</v>
      </c>
      <c r="T26" s="70">
        <f>($E$26/12)*3</f>
        <v>312500</v>
      </c>
      <c r="U26" s="70">
        <f>($E$26/12)*3</f>
        <v>312500</v>
      </c>
      <c r="V26" s="70">
        <f>($E$26/12)*1</f>
        <v>104166.66666666667</v>
      </c>
      <c r="W26" s="68"/>
      <c r="X26" s="70"/>
      <c r="Y26" s="70"/>
      <c r="AA26" s="180">
        <f t="shared" si="0"/>
        <v>1250000.0000000002</v>
      </c>
      <c r="AB26" s="70"/>
    </row>
    <row r="27" spans="1:30" s="15" customFormat="1">
      <c r="A27" s="66" t="s">
        <v>93</v>
      </c>
      <c r="E27" s="67">
        <v>5875000</v>
      </c>
      <c r="F27" s="140"/>
      <c r="G27" s="17"/>
      <c r="H27" s="14"/>
      <c r="K27" s="17"/>
      <c r="O27" s="17"/>
      <c r="Q27" s="70"/>
      <c r="R27" s="70"/>
      <c r="S27" s="68"/>
      <c r="T27" s="70"/>
      <c r="U27" s="70">
        <f>($E$27/12)*1</f>
        <v>489583.33333333331</v>
      </c>
      <c r="V27" s="70">
        <f>($E$27/12)*3</f>
        <v>1468750</v>
      </c>
      <c r="W27" s="68">
        <f>($E$27/12)*3</f>
        <v>1468750</v>
      </c>
      <c r="X27" s="70">
        <f>($E$27/12)*3</f>
        <v>1468750</v>
      </c>
      <c r="Y27" s="70">
        <f>($E$27/12)*2</f>
        <v>979166.66666666663</v>
      </c>
      <c r="AA27" s="180">
        <f t="shared" si="0"/>
        <v>5875000</v>
      </c>
      <c r="AB27" s="70"/>
    </row>
    <row r="28" spans="1:30">
      <c r="A28" t="s">
        <v>94</v>
      </c>
      <c r="B28" s="15"/>
      <c r="C28" s="15"/>
      <c r="D28" s="15"/>
      <c r="E28" s="67">
        <v>925000</v>
      </c>
      <c r="F28" s="139"/>
      <c r="G28" s="6"/>
      <c r="K28" s="6"/>
      <c r="O28" s="17"/>
      <c r="P28" s="15"/>
      <c r="Q28" s="70"/>
      <c r="R28" s="70"/>
      <c r="S28" s="68"/>
      <c r="T28" s="70"/>
      <c r="U28" s="70"/>
      <c r="V28" s="70"/>
      <c r="W28" s="68">
        <f>($E$28/8)*2</f>
        <v>231250</v>
      </c>
      <c r="X28" s="70">
        <f>($E$28/8)*3</f>
        <v>346875</v>
      </c>
      <c r="Y28" s="70">
        <f>($E$28/8)*3</f>
        <v>346875</v>
      </c>
      <c r="AA28" s="180">
        <f t="shared" si="0"/>
        <v>925000</v>
      </c>
      <c r="AB28" s="70"/>
    </row>
    <row r="29" spans="1:30">
      <c r="E29" s="22"/>
      <c r="F29" s="139"/>
      <c r="G29" s="73"/>
      <c r="K29" s="6"/>
      <c r="O29" s="17"/>
      <c r="P29" s="15"/>
      <c r="Q29" s="15"/>
      <c r="R29" s="15"/>
      <c r="S29" s="17"/>
      <c r="T29" s="15"/>
      <c r="U29" s="15"/>
      <c r="V29" s="15"/>
      <c r="W29" s="17"/>
      <c r="X29" s="15"/>
      <c r="Y29" s="15"/>
      <c r="AA29" s="180"/>
      <c r="AB29" s="70"/>
    </row>
    <row r="30" spans="1:30" ht="15.75" thickBot="1">
      <c r="A30" s="80" t="s">
        <v>95</v>
      </c>
      <c r="B30" s="79" t="s">
        <v>27</v>
      </c>
      <c r="C30" s="79" t="s">
        <v>7</v>
      </c>
      <c r="D30" s="79"/>
      <c r="E30" s="81">
        <f>SUM(E31)</f>
        <v>500000</v>
      </c>
      <c r="F30" s="138"/>
      <c r="G30" s="78"/>
      <c r="H30" s="79"/>
      <c r="I30" s="79"/>
      <c r="J30" s="79"/>
      <c r="K30" s="78"/>
      <c r="L30" s="79"/>
      <c r="M30" s="79"/>
      <c r="N30" s="79"/>
      <c r="O30" s="78"/>
      <c r="P30" s="79"/>
      <c r="Q30" s="79"/>
      <c r="R30" s="79"/>
      <c r="S30" s="78"/>
      <c r="T30" s="79"/>
      <c r="U30" s="79"/>
      <c r="V30" s="79"/>
      <c r="W30" s="78"/>
      <c r="X30" s="79"/>
      <c r="Y30" s="79"/>
      <c r="Z30" s="79"/>
      <c r="AA30" s="180"/>
      <c r="AB30" s="70"/>
    </row>
    <row r="31" spans="1:30" s="15" customFormat="1" ht="15.75" thickTop="1">
      <c r="A31" s="66" t="s">
        <v>96</v>
      </c>
      <c r="E31" s="67">
        <v>500000</v>
      </c>
      <c r="F31" s="140"/>
      <c r="G31" s="17"/>
      <c r="H31" s="14"/>
      <c r="K31" s="17"/>
      <c r="O31" s="17"/>
      <c r="S31" s="17"/>
      <c r="W31" s="17"/>
      <c r="X31" s="70">
        <f>($E$31/2)</f>
        <v>250000</v>
      </c>
      <c r="Y31" s="70">
        <f>($E$31/2)</f>
        <v>250000</v>
      </c>
      <c r="AA31" s="180">
        <f t="shared" si="0"/>
        <v>500000</v>
      </c>
      <c r="AB31" s="70"/>
    </row>
    <row r="32" spans="1:30">
      <c r="AA32" s="180"/>
    </row>
    <row r="33" spans="1:27">
      <c r="E33" s="15"/>
      <c r="F33" s="15"/>
      <c r="AA33" s="180"/>
    </row>
    <row r="34" spans="1:27">
      <c r="A34" t="s">
        <v>21</v>
      </c>
      <c r="E34" s="22">
        <f>E8+E13+E20+E23+E30</f>
        <v>17600000</v>
      </c>
      <c r="F34" s="15"/>
      <c r="G34" s="178">
        <f t="shared" ref="G34:Y34" si="2">SUM(G5:G31)</f>
        <v>0</v>
      </c>
      <c r="H34" s="178">
        <f t="shared" si="2"/>
        <v>0</v>
      </c>
      <c r="I34" s="178">
        <f t="shared" si="2"/>
        <v>105000</v>
      </c>
      <c r="J34" s="178">
        <f t="shared" si="2"/>
        <v>105000</v>
      </c>
      <c r="K34" s="178">
        <f t="shared" si="2"/>
        <v>450000</v>
      </c>
      <c r="L34" s="178">
        <f t="shared" si="2"/>
        <v>450000</v>
      </c>
      <c r="M34" s="178">
        <f t="shared" si="2"/>
        <v>450000</v>
      </c>
      <c r="N34" s="178">
        <f t="shared" si="2"/>
        <v>950000</v>
      </c>
      <c r="O34" s="178">
        <f t="shared" si="2"/>
        <v>1115000</v>
      </c>
      <c r="P34" s="178">
        <f t="shared" si="2"/>
        <v>1115000</v>
      </c>
      <c r="Q34" s="178">
        <f t="shared" si="2"/>
        <v>927500</v>
      </c>
      <c r="R34" s="178">
        <f t="shared" si="2"/>
        <v>1135833.3333333333</v>
      </c>
      <c r="S34" s="178">
        <f t="shared" si="2"/>
        <v>1240000</v>
      </c>
      <c r="T34" s="178">
        <f t="shared" si="2"/>
        <v>1240000</v>
      </c>
      <c r="U34" s="178">
        <f t="shared" si="2"/>
        <v>922083.33333333326</v>
      </c>
      <c r="V34" s="178">
        <f t="shared" si="2"/>
        <v>1692916.6666666667</v>
      </c>
      <c r="W34" s="178">
        <f t="shared" si="2"/>
        <v>1820000</v>
      </c>
      <c r="X34" s="178">
        <f t="shared" si="2"/>
        <v>2185625</v>
      </c>
      <c r="Y34" s="178">
        <f t="shared" si="2"/>
        <v>1696041.6666666665</v>
      </c>
      <c r="AA34" s="180">
        <f>SUM(G34:Z34)</f>
        <v>17600000</v>
      </c>
    </row>
    <row r="35" spans="1:27">
      <c r="F35" s="15"/>
    </row>
    <row r="36" spans="1:27">
      <c r="A36" t="s">
        <v>13</v>
      </c>
      <c r="E36" s="10">
        <f>E34*0.8</f>
        <v>14080000</v>
      </c>
      <c r="F36" s="139"/>
    </row>
    <row r="38" spans="1:27">
      <c r="A38" t="s">
        <v>184</v>
      </c>
      <c r="E38" s="10">
        <f>E34-E36</f>
        <v>3520000</v>
      </c>
      <c r="F38" s="160">
        <f>E38/E34</f>
        <v>0.2</v>
      </c>
    </row>
    <row r="39" spans="1:27">
      <c r="E39" s="10"/>
      <c r="F39" s="160"/>
    </row>
    <row r="40" spans="1:27">
      <c r="E40" s="10"/>
      <c r="F40" s="160"/>
    </row>
  </sheetData>
  <mergeCells count="6">
    <mergeCell ref="Y1:AB1"/>
    <mergeCell ref="G2:J2"/>
    <mergeCell ref="K2:N2"/>
    <mergeCell ref="O2:R2"/>
    <mergeCell ref="S2:V2"/>
    <mergeCell ref="W2:Z2"/>
  </mergeCells>
  <pageMargins left="0.28000000000000003" right="0.16" top="0.75" bottom="0.75" header="0.3" footer="0.3"/>
  <pageSetup paperSize="5" scale="4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C52"/>
  <sheetViews>
    <sheetView zoomScale="75" zoomScaleNormal="75" workbookViewId="0">
      <selection activeCell="E44" sqref="E44"/>
    </sheetView>
  </sheetViews>
  <sheetFormatPr defaultRowHeight="15"/>
  <cols>
    <col min="1" max="1" width="46.140625" customWidth="1"/>
    <col min="2" max="4" width="13.42578125" customWidth="1"/>
    <col min="5" max="5" width="14.42578125" customWidth="1"/>
    <col min="6" max="6" width="15.28515625" customWidth="1"/>
    <col min="7" max="13" width="11.7109375" customWidth="1"/>
    <col min="14" max="14" width="9.85546875" bestFit="1" customWidth="1"/>
    <col min="15" max="15" width="12" customWidth="1"/>
    <col min="19" max="19" width="10.42578125" customWidth="1"/>
    <col min="24" max="24" width="9.85546875" customWidth="1"/>
    <col min="29" max="29" width="10.28515625" customWidth="1"/>
  </cols>
  <sheetData>
    <row r="1" spans="1:18">
      <c r="A1" t="s">
        <v>0</v>
      </c>
      <c r="I1" s="221">
        <v>2013</v>
      </c>
      <c r="J1" s="222"/>
      <c r="K1" s="222"/>
      <c r="L1" s="222"/>
    </row>
    <row r="2" spans="1:18">
      <c r="G2" s="218" t="s">
        <v>10</v>
      </c>
      <c r="H2" s="220"/>
      <c r="I2" s="220"/>
      <c r="J2" s="220"/>
      <c r="K2" s="218" t="s">
        <v>11</v>
      </c>
      <c r="L2" s="223"/>
      <c r="M2" s="223"/>
      <c r="N2" s="219"/>
      <c r="O2" s="172"/>
      <c r="P2" s="171"/>
      <c r="Q2" s="171"/>
      <c r="R2" s="171"/>
    </row>
    <row r="3" spans="1:18">
      <c r="G3" s="51" t="s">
        <v>15</v>
      </c>
      <c r="H3" s="11" t="s">
        <v>16</v>
      </c>
      <c r="I3" s="52" t="s">
        <v>17</v>
      </c>
      <c r="J3" s="52" t="s">
        <v>18</v>
      </c>
      <c r="K3" s="168" t="s">
        <v>15</v>
      </c>
      <c r="L3" s="11" t="s">
        <v>16</v>
      </c>
      <c r="M3" s="11" t="s">
        <v>17</v>
      </c>
      <c r="N3" s="169" t="s">
        <v>18</v>
      </c>
    </row>
    <row r="4" spans="1:18" ht="15.75" thickBot="1">
      <c r="A4" s="13" t="s">
        <v>6</v>
      </c>
      <c r="B4" s="13" t="s">
        <v>1</v>
      </c>
      <c r="C4" s="13" t="s">
        <v>2</v>
      </c>
      <c r="D4" s="13" t="s">
        <v>3</v>
      </c>
      <c r="E4" s="13" t="s">
        <v>4</v>
      </c>
      <c r="F4" s="13" t="s">
        <v>5</v>
      </c>
      <c r="G4" s="7"/>
      <c r="H4" s="1"/>
      <c r="I4" s="1"/>
      <c r="J4" s="1"/>
      <c r="K4" s="7"/>
      <c r="L4" s="1"/>
      <c r="M4" s="1"/>
      <c r="N4" s="173"/>
    </row>
    <row r="5" spans="1:18" ht="15.75" thickTop="1">
      <c r="A5" s="14" t="s">
        <v>57</v>
      </c>
      <c r="B5" s="15"/>
      <c r="C5" s="15"/>
      <c r="D5" s="15"/>
      <c r="E5" s="15"/>
      <c r="G5" s="6"/>
      <c r="H5" s="3"/>
      <c r="K5" s="6"/>
      <c r="L5" s="3"/>
      <c r="M5" s="3"/>
      <c r="N5" s="101"/>
    </row>
    <row r="6" spans="1:18">
      <c r="A6" s="14"/>
      <c r="B6" s="15"/>
      <c r="C6" s="15"/>
      <c r="D6" s="15"/>
      <c r="E6" s="15"/>
      <c r="G6" s="6"/>
      <c r="H6" s="3"/>
      <c r="K6" s="6"/>
      <c r="L6" s="3"/>
      <c r="M6" s="3"/>
      <c r="N6" s="101"/>
    </row>
    <row r="7" spans="1:18" ht="15.75" thickBot="1">
      <c r="A7" s="4"/>
      <c r="C7" s="1" t="s">
        <v>187</v>
      </c>
      <c r="D7" s="1"/>
      <c r="E7" s="1"/>
      <c r="F7" s="1"/>
      <c r="G7" s="6"/>
      <c r="H7" s="3"/>
      <c r="K7" s="6"/>
      <c r="L7" s="3"/>
      <c r="M7" s="3"/>
      <c r="N7" s="101"/>
    </row>
    <row r="8" spans="1:18" ht="16.5" thickTop="1" thickBot="1">
      <c r="A8" s="2" t="s">
        <v>58</v>
      </c>
      <c r="B8" s="1" t="s">
        <v>9</v>
      </c>
      <c r="C8" s="1" t="s">
        <v>7</v>
      </c>
      <c r="D8" s="1" t="s">
        <v>7</v>
      </c>
      <c r="E8" s="5">
        <v>100000</v>
      </c>
      <c r="F8" s="12" t="s">
        <v>7</v>
      </c>
      <c r="G8" s="7"/>
      <c r="H8" s="1"/>
      <c r="I8" s="1"/>
      <c r="J8" s="1"/>
      <c r="K8" s="7"/>
      <c r="L8" s="1"/>
      <c r="M8" s="1"/>
      <c r="N8" s="173"/>
    </row>
    <row r="9" spans="1:18" ht="15.75" thickTop="1">
      <c r="A9" s="14" t="s">
        <v>59</v>
      </c>
      <c r="B9" s="15"/>
      <c r="C9" s="15"/>
      <c r="D9" s="15"/>
      <c r="E9" s="15"/>
      <c r="F9" s="52"/>
      <c r="G9" s="62">
        <v>50000</v>
      </c>
      <c r="H9" s="63">
        <v>50000</v>
      </c>
      <c r="I9" s="64"/>
      <c r="K9" s="6"/>
      <c r="L9" s="3"/>
      <c r="M9" s="3"/>
      <c r="N9" s="101"/>
    </row>
    <row r="10" spans="1:18">
      <c r="A10" s="14"/>
      <c r="B10" s="15"/>
      <c r="C10" s="15"/>
      <c r="D10" s="15"/>
      <c r="E10" s="15"/>
      <c r="F10" s="52"/>
      <c r="G10" s="6"/>
      <c r="H10" s="3"/>
      <c r="K10" s="6"/>
      <c r="L10" s="3"/>
      <c r="M10" s="3"/>
      <c r="N10" s="101"/>
    </row>
    <row r="11" spans="1:18" ht="15.75" thickBot="1">
      <c r="A11" s="2" t="s">
        <v>60</v>
      </c>
      <c r="B11" s="1"/>
      <c r="C11" s="1"/>
      <c r="D11" s="1"/>
      <c r="E11" s="5">
        <f>SUM(E13:E36)</f>
        <v>824560</v>
      </c>
      <c r="F11" s="138" t="s">
        <v>54</v>
      </c>
      <c r="G11" s="7"/>
      <c r="H11" s="1"/>
      <c r="I11" s="1"/>
      <c r="J11" s="1"/>
      <c r="K11" s="7"/>
      <c r="L11" s="1"/>
      <c r="M11" s="1"/>
      <c r="N11" s="173"/>
    </row>
    <row r="12" spans="1:18" ht="15.75" thickTop="1">
      <c r="A12" s="15"/>
      <c r="B12" s="15"/>
      <c r="C12" s="15"/>
      <c r="D12" s="15"/>
      <c r="E12" s="15"/>
      <c r="F12" s="139"/>
      <c r="G12" s="6"/>
      <c r="H12" s="3"/>
      <c r="J12" s="174"/>
      <c r="K12" s="3"/>
      <c r="L12" s="3"/>
      <c r="M12" s="3"/>
      <c r="N12" s="101"/>
    </row>
    <row r="13" spans="1:18">
      <c r="A13" s="15" t="s">
        <v>61</v>
      </c>
      <c r="B13" s="15"/>
      <c r="C13" s="15"/>
      <c r="D13" s="15"/>
      <c r="E13" s="56">
        <v>500</v>
      </c>
      <c r="F13" s="141">
        <f>E13*0.8</f>
        <v>400</v>
      </c>
      <c r="G13" s="6"/>
      <c r="H13" s="3"/>
      <c r="I13" s="15">
        <v>500</v>
      </c>
      <c r="J13" s="175"/>
      <c r="K13" s="14"/>
      <c r="L13" s="14"/>
      <c r="M13" s="14"/>
      <c r="N13" s="101"/>
      <c r="O13" s="65">
        <f t="shared" ref="O13:O36" si="0">SUM(G13:M13)</f>
        <v>500</v>
      </c>
    </row>
    <row r="14" spans="1:18">
      <c r="A14" s="135"/>
      <c r="B14" s="15"/>
      <c r="C14" s="15"/>
      <c r="D14" s="15"/>
      <c r="E14" s="56"/>
      <c r="F14" s="141"/>
      <c r="G14" s="6"/>
      <c r="H14" s="3"/>
      <c r="I14" s="15"/>
      <c r="J14" s="175"/>
      <c r="K14" s="14"/>
      <c r="L14" s="14"/>
      <c r="M14" s="14"/>
      <c r="N14" s="101"/>
      <c r="O14" s="65"/>
    </row>
    <row r="15" spans="1:18">
      <c r="A15" s="217" t="s">
        <v>62</v>
      </c>
      <c r="B15" s="15"/>
      <c r="C15" s="15"/>
      <c r="D15" s="15"/>
      <c r="E15" s="56">
        <v>6500</v>
      </c>
      <c r="F15" s="141">
        <f>E15*0.8</f>
        <v>5200</v>
      </c>
      <c r="G15" s="6"/>
      <c r="H15" s="3"/>
      <c r="I15" s="15"/>
      <c r="J15" s="176">
        <v>6500</v>
      </c>
      <c r="K15" s="14"/>
      <c r="L15" s="14"/>
      <c r="M15" s="14"/>
      <c r="N15" s="101"/>
      <c r="O15" s="65">
        <f t="shared" si="0"/>
        <v>6500</v>
      </c>
    </row>
    <row r="16" spans="1:18">
      <c r="A16" s="15"/>
      <c r="B16" s="15"/>
      <c r="C16" s="15"/>
      <c r="D16" s="15"/>
      <c r="E16" s="56"/>
      <c r="F16" s="141"/>
      <c r="G16" s="6"/>
      <c r="H16" s="3"/>
      <c r="I16" s="15"/>
      <c r="J16" s="175"/>
      <c r="K16" s="14"/>
      <c r="L16" s="14"/>
      <c r="M16" s="14"/>
      <c r="N16" s="101"/>
      <c r="O16" s="65"/>
    </row>
    <row r="17" spans="1:15">
      <c r="A17" s="15" t="s">
        <v>63</v>
      </c>
      <c r="B17" s="15"/>
      <c r="C17" s="15"/>
      <c r="D17" s="15"/>
      <c r="E17" s="56">
        <v>30000</v>
      </c>
      <c r="F17" s="141">
        <f>E17*0.8</f>
        <v>24000</v>
      </c>
      <c r="G17" s="6"/>
      <c r="H17" s="3"/>
      <c r="I17" s="15"/>
      <c r="J17" s="175"/>
      <c r="K17" s="58">
        <v>15000</v>
      </c>
      <c r="L17" s="58">
        <v>15000</v>
      </c>
      <c r="M17" s="14"/>
      <c r="N17" s="101"/>
      <c r="O17" s="65">
        <f t="shared" si="0"/>
        <v>30000</v>
      </c>
    </row>
    <row r="18" spans="1:15">
      <c r="A18" s="135"/>
      <c r="B18" s="15"/>
      <c r="C18" s="15"/>
      <c r="D18" s="15"/>
      <c r="E18" s="56"/>
      <c r="F18" s="141"/>
      <c r="G18" s="6"/>
      <c r="H18" s="3"/>
      <c r="I18" s="15"/>
      <c r="J18" s="175"/>
      <c r="K18" s="14"/>
      <c r="L18" s="14"/>
      <c r="M18" s="14"/>
      <c r="N18" s="101"/>
      <c r="O18" s="65"/>
    </row>
    <row r="19" spans="1:15">
      <c r="A19" s="217" t="s">
        <v>64</v>
      </c>
      <c r="B19" s="15"/>
      <c r="C19" s="15"/>
      <c r="D19" s="15"/>
      <c r="E19" s="56">
        <v>90000</v>
      </c>
      <c r="F19" s="141">
        <f>E19*0.8</f>
        <v>72000</v>
      </c>
      <c r="G19" s="6"/>
      <c r="H19" s="3"/>
      <c r="I19" s="15"/>
      <c r="J19" s="175"/>
      <c r="K19" s="58">
        <v>45000</v>
      </c>
      <c r="L19" s="58">
        <v>45000</v>
      </c>
      <c r="M19" s="14"/>
      <c r="N19" s="101"/>
      <c r="O19" s="65">
        <f t="shared" si="0"/>
        <v>90000</v>
      </c>
    </row>
    <row r="20" spans="1:15">
      <c r="A20" s="134"/>
      <c r="B20" s="15"/>
      <c r="C20" s="15"/>
      <c r="D20" s="15"/>
      <c r="E20" s="15"/>
      <c r="F20" s="141"/>
      <c r="G20" s="6"/>
      <c r="H20" s="3"/>
      <c r="I20" s="15"/>
      <c r="J20" s="175"/>
      <c r="K20" s="14"/>
      <c r="L20" s="14"/>
      <c r="M20" s="14"/>
      <c r="N20" s="101"/>
      <c r="O20" s="65"/>
    </row>
    <row r="21" spans="1:15">
      <c r="A21" s="15" t="s">
        <v>65</v>
      </c>
      <c r="B21" s="15"/>
      <c r="C21" s="15"/>
      <c r="D21" s="15"/>
      <c r="E21" s="15"/>
      <c r="F21" s="141"/>
      <c r="G21" s="6"/>
      <c r="H21" s="3"/>
      <c r="I21" s="15"/>
      <c r="J21" s="175"/>
      <c r="K21" s="14"/>
      <c r="L21" s="14"/>
      <c r="M21" s="14"/>
      <c r="N21" s="101"/>
      <c r="O21" s="65"/>
    </row>
    <row r="22" spans="1:15">
      <c r="A22" s="135" t="s">
        <v>66</v>
      </c>
      <c r="B22" s="15"/>
      <c r="C22" s="15"/>
      <c r="D22" s="15"/>
      <c r="E22" s="56">
        <v>270000</v>
      </c>
      <c r="F22" s="141">
        <f>E22*0.8</f>
        <v>216000</v>
      </c>
      <c r="G22" s="6"/>
      <c r="H22" s="3"/>
      <c r="I22" s="56">
        <v>50000</v>
      </c>
      <c r="J22" s="176">
        <v>50000</v>
      </c>
      <c r="K22" s="58">
        <v>100000</v>
      </c>
      <c r="L22" s="58">
        <v>70000</v>
      </c>
      <c r="M22" s="14"/>
      <c r="N22" s="101"/>
      <c r="O22" s="65">
        <f t="shared" si="0"/>
        <v>270000</v>
      </c>
    </row>
    <row r="23" spans="1:15">
      <c r="A23" s="135"/>
      <c r="B23" s="15"/>
      <c r="C23" s="15"/>
      <c r="D23" s="15"/>
      <c r="E23" s="56"/>
      <c r="F23" s="141"/>
      <c r="G23" s="6"/>
      <c r="H23" s="3"/>
      <c r="I23" s="15"/>
      <c r="J23" s="175"/>
      <c r="K23" s="14"/>
      <c r="L23" s="14"/>
      <c r="M23" s="14"/>
      <c r="N23" s="101"/>
      <c r="O23" s="65"/>
    </row>
    <row r="24" spans="1:15">
      <c r="A24" s="15" t="s">
        <v>67</v>
      </c>
      <c r="B24" s="15"/>
      <c r="C24" s="15"/>
      <c r="D24" s="15"/>
      <c r="E24" s="56">
        <v>200760</v>
      </c>
      <c r="F24" s="141">
        <f>E24*0.8</f>
        <v>160608</v>
      </c>
      <c r="G24" s="6"/>
      <c r="H24" s="3"/>
      <c r="I24" s="15"/>
      <c r="J24" s="176">
        <v>25000</v>
      </c>
      <c r="K24" s="58">
        <v>50000</v>
      </c>
      <c r="L24" s="58">
        <f>75760</f>
        <v>75760</v>
      </c>
      <c r="M24" s="58">
        <v>50000</v>
      </c>
      <c r="N24" s="101"/>
      <c r="O24" s="65">
        <f t="shared" si="0"/>
        <v>200760</v>
      </c>
    </row>
    <row r="25" spans="1:15">
      <c r="A25" s="15"/>
      <c r="B25" s="15"/>
      <c r="C25" s="15"/>
      <c r="D25" s="15"/>
      <c r="E25" s="15"/>
      <c r="F25" s="141"/>
      <c r="G25" s="6"/>
      <c r="H25" s="3"/>
      <c r="I25" s="15"/>
      <c r="J25" s="175"/>
      <c r="K25" s="14"/>
      <c r="L25" s="14"/>
      <c r="M25" s="14"/>
      <c r="N25" s="101"/>
      <c r="O25" s="65"/>
    </row>
    <row r="26" spans="1:15">
      <c r="A26" s="217" t="s">
        <v>68</v>
      </c>
      <c r="B26" s="15"/>
      <c r="C26" s="15"/>
      <c r="D26" s="15"/>
      <c r="E26" s="56">
        <v>151800</v>
      </c>
      <c r="F26" s="141">
        <f>E26*0.8</f>
        <v>121440</v>
      </c>
      <c r="G26" s="6"/>
      <c r="H26" s="3"/>
      <c r="I26" s="15"/>
      <c r="J26" s="176">
        <v>20000</v>
      </c>
      <c r="K26" s="58">
        <v>50000</v>
      </c>
      <c r="L26" s="58">
        <f>50000+31800</f>
        <v>81800</v>
      </c>
      <c r="M26" s="14"/>
      <c r="N26" s="101"/>
      <c r="O26" s="65">
        <f t="shared" si="0"/>
        <v>151800</v>
      </c>
    </row>
    <row r="27" spans="1:15">
      <c r="A27" s="135"/>
      <c r="B27" s="15"/>
      <c r="C27" s="15"/>
      <c r="D27" s="15"/>
      <c r="E27" s="56"/>
      <c r="F27" s="141"/>
      <c r="G27" s="6"/>
      <c r="H27" s="3"/>
      <c r="I27" s="15"/>
      <c r="J27" s="175"/>
      <c r="K27" s="14"/>
      <c r="L27" s="14"/>
      <c r="M27" s="14"/>
      <c r="N27" s="101"/>
      <c r="O27" s="65"/>
    </row>
    <row r="28" spans="1:15">
      <c r="A28" s="15" t="s">
        <v>69</v>
      </c>
      <c r="B28" s="15" t="s">
        <v>70</v>
      </c>
      <c r="C28" s="15"/>
      <c r="D28" s="15"/>
      <c r="E28" s="56">
        <v>15000</v>
      </c>
      <c r="F28" s="141">
        <f>E28*0.8</f>
        <v>12000</v>
      </c>
      <c r="G28" s="6"/>
      <c r="H28" s="3"/>
      <c r="I28" s="15"/>
      <c r="J28" s="175"/>
      <c r="K28" s="58">
        <v>15000</v>
      </c>
      <c r="L28" s="14"/>
      <c r="M28" s="14"/>
      <c r="N28" s="101"/>
      <c r="O28" s="65">
        <f t="shared" si="0"/>
        <v>15000</v>
      </c>
    </row>
    <row r="29" spans="1:15">
      <c r="A29" s="15"/>
      <c r="B29" s="15"/>
      <c r="C29" s="15"/>
      <c r="D29" s="15"/>
      <c r="E29" s="56"/>
      <c r="F29" s="141"/>
      <c r="G29" s="6"/>
      <c r="H29" s="3"/>
      <c r="I29" s="15"/>
      <c r="J29" s="175"/>
      <c r="K29" s="58"/>
      <c r="L29" s="14"/>
      <c r="M29" s="14"/>
      <c r="N29" s="101"/>
      <c r="O29" s="65"/>
    </row>
    <row r="30" spans="1:15">
      <c r="A30" s="15" t="s">
        <v>71</v>
      </c>
      <c r="B30" s="15" t="s">
        <v>72</v>
      </c>
      <c r="C30" s="15"/>
      <c r="D30" s="15"/>
      <c r="E30" s="56">
        <v>15000</v>
      </c>
      <c r="F30" s="141">
        <f>E30*0.8</f>
        <v>12000</v>
      </c>
      <c r="G30" s="6"/>
      <c r="H30" s="3"/>
      <c r="I30" s="15"/>
      <c r="J30" s="175"/>
      <c r="K30" s="58">
        <v>15000</v>
      </c>
      <c r="L30" s="14"/>
      <c r="M30" s="14"/>
      <c r="N30" s="101"/>
      <c r="O30" s="65">
        <f t="shared" si="0"/>
        <v>15000</v>
      </c>
    </row>
    <row r="31" spans="1:15">
      <c r="A31" s="135"/>
      <c r="B31" s="15"/>
      <c r="C31" s="15"/>
      <c r="D31" s="15"/>
      <c r="E31" s="56"/>
      <c r="F31" s="141"/>
      <c r="G31" s="6"/>
      <c r="H31" s="3"/>
      <c r="I31" s="15"/>
      <c r="J31" s="15"/>
      <c r="K31" s="17"/>
      <c r="L31" s="14"/>
      <c r="M31" s="14"/>
      <c r="N31" s="101"/>
      <c r="O31" s="65"/>
    </row>
    <row r="32" spans="1:15">
      <c r="A32" s="217" t="s">
        <v>73</v>
      </c>
      <c r="B32" s="15"/>
      <c r="C32" s="15"/>
      <c r="D32" s="15"/>
      <c r="E32" s="56">
        <v>15000</v>
      </c>
      <c r="F32" s="141">
        <f>E32*0.8</f>
        <v>12000</v>
      </c>
      <c r="G32" s="6"/>
      <c r="H32" s="3"/>
      <c r="I32" s="15"/>
      <c r="J32" s="15"/>
      <c r="K32" s="57">
        <v>15000</v>
      </c>
      <c r="L32" s="14"/>
      <c r="M32" s="14"/>
      <c r="N32" s="101"/>
      <c r="O32" s="65">
        <f t="shared" si="0"/>
        <v>15000</v>
      </c>
    </row>
    <row r="33" spans="1:15">
      <c r="A33" s="15"/>
      <c r="B33" s="15"/>
      <c r="C33" s="15"/>
      <c r="D33" s="15"/>
      <c r="E33" s="15"/>
      <c r="F33" s="141"/>
      <c r="G33" s="6"/>
      <c r="H33" s="3"/>
      <c r="I33" s="15"/>
      <c r="J33" s="15"/>
      <c r="K33" s="17"/>
      <c r="L33" s="14"/>
      <c r="M33" s="14"/>
      <c r="N33" s="101"/>
      <c r="O33" s="65"/>
    </row>
    <row r="34" spans="1:15">
      <c r="A34" s="15" t="s">
        <v>74</v>
      </c>
      <c r="B34" s="15"/>
      <c r="C34" s="15"/>
      <c r="D34" s="15"/>
      <c r="E34" s="56">
        <v>15000</v>
      </c>
      <c r="F34" s="141">
        <f>E34*0.8</f>
        <v>12000</v>
      </c>
      <c r="G34" s="6"/>
      <c r="H34" s="3"/>
      <c r="I34" s="15"/>
      <c r="J34" s="15"/>
      <c r="K34" s="57">
        <v>15000</v>
      </c>
      <c r="L34" s="14"/>
      <c r="M34" s="14"/>
      <c r="N34" s="101"/>
      <c r="O34" s="65">
        <f t="shared" si="0"/>
        <v>15000</v>
      </c>
    </row>
    <row r="35" spans="1:15">
      <c r="A35" s="135"/>
      <c r="B35" s="15"/>
      <c r="C35" s="15"/>
      <c r="D35" s="15"/>
      <c r="E35" s="56"/>
      <c r="F35" s="141"/>
      <c r="G35" s="6"/>
      <c r="H35" s="3"/>
      <c r="I35" s="15"/>
      <c r="J35" s="15"/>
      <c r="K35" s="17"/>
      <c r="L35" s="14"/>
      <c r="M35" s="14"/>
      <c r="N35" s="101"/>
      <c r="O35" s="65"/>
    </row>
    <row r="36" spans="1:15">
      <c r="A36" s="217" t="s">
        <v>75</v>
      </c>
      <c r="B36" s="15"/>
      <c r="C36" s="15"/>
      <c r="D36" s="15"/>
      <c r="E36" s="56">
        <v>15000</v>
      </c>
      <c r="F36" s="141">
        <f>E36*0.8</f>
        <v>12000</v>
      </c>
      <c r="G36" s="6"/>
      <c r="H36" s="3"/>
      <c r="I36" s="15"/>
      <c r="J36" s="15"/>
      <c r="K36" s="57">
        <v>15000</v>
      </c>
      <c r="L36" s="14"/>
      <c r="M36" s="14"/>
      <c r="N36" s="101"/>
      <c r="O36" s="65">
        <f t="shared" si="0"/>
        <v>15000</v>
      </c>
    </row>
    <row r="37" spans="1:15">
      <c r="A37" s="15"/>
      <c r="B37" s="15"/>
      <c r="C37" s="15"/>
      <c r="D37" s="15"/>
      <c r="E37" s="15"/>
      <c r="F37" s="141"/>
      <c r="G37" s="6"/>
      <c r="H37" s="3"/>
      <c r="K37" s="6"/>
      <c r="L37" s="3"/>
      <c r="M37" s="3"/>
      <c r="N37" s="101"/>
      <c r="O37" s="65"/>
    </row>
    <row r="38" spans="1:15" s="15" customFormat="1">
      <c r="A38" s="15" t="s">
        <v>186</v>
      </c>
      <c r="E38" s="22">
        <f>E11+E8</f>
        <v>924560</v>
      </c>
      <c r="F38" s="141"/>
      <c r="G38" s="6"/>
    </row>
    <row r="39" spans="1:15">
      <c r="A39" s="15"/>
      <c r="B39" s="15"/>
      <c r="C39" s="15"/>
      <c r="D39" s="15"/>
      <c r="E39" s="22"/>
      <c r="F39" s="56"/>
    </row>
    <row r="40" spans="1:15">
      <c r="A40" s="15" t="s">
        <v>189</v>
      </c>
      <c r="B40" s="15"/>
      <c r="C40" s="15"/>
      <c r="D40" s="15"/>
      <c r="E40" s="22">
        <f>E11</f>
        <v>824560</v>
      </c>
      <c r="F40" s="56">
        <f>SUM(F13:F37)</f>
        <v>659648</v>
      </c>
      <c r="G40" s="65"/>
      <c r="H40" s="65"/>
      <c r="I40" s="65">
        <f t="shared" ref="I40:M40" si="1">SUM(I8:I39)</f>
        <v>50500</v>
      </c>
      <c r="J40" s="65">
        <f t="shared" si="1"/>
        <v>101500</v>
      </c>
      <c r="K40" s="65">
        <f t="shared" si="1"/>
        <v>335000</v>
      </c>
      <c r="L40" s="65">
        <f t="shared" si="1"/>
        <v>287560</v>
      </c>
      <c r="M40" s="65">
        <f t="shared" si="1"/>
        <v>50000</v>
      </c>
      <c r="O40" s="65">
        <f>SUM(G40:M40)</f>
        <v>824560</v>
      </c>
    </row>
    <row r="41" spans="1:15">
      <c r="A41" s="15" t="s">
        <v>175</v>
      </c>
      <c r="B41" s="15"/>
      <c r="C41" s="15"/>
      <c r="D41" s="15"/>
      <c r="E41" s="22">
        <f>E40*0.035</f>
        <v>28859.600000000002</v>
      </c>
      <c r="F41" s="15"/>
      <c r="G41" s="65"/>
      <c r="H41" s="65"/>
      <c r="I41" s="65">
        <f t="shared" ref="I41:M41" si="2">I40*0.035</f>
        <v>1767.5000000000002</v>
      </c>
      <c r="J41" s="65">
        <f t="shared" si="2"/>
        <v>3552.5000000000005</v>
      </c>
      <c r="K41" s="65">
        <f t="shared" si="2"/>
        <v>11725.000000000002</v>
      </c>
      <c r="L41" s="65">
        <f t="shared" si="2"/>
        <v>10064.6</v>
      </c>
      <c r="M41" s="65">
        <f t="shared" si="2"/>
        <v>1750.0000000000002</v>
      </c>
      <c r="O41" s="65">
        <f>SUM(G41:M41)</f>
        <v>28859.600000000006</v>
      </c>
    </row>
    <row r="42" spans="1:15">
      <c r="A42" s="15" t="s">
        <v>178</v>
      </c>
      <c r="B42" s="15"/>
      <c r="C42" s="15"/>
      <c r="D42" s="15"/>
      <c r="E42" s="22">
        <f>E40+E41</f>
        <v>853419.6</v>
      </c>
      <c r="F42" s="56">
        <f>E42*0.8</f>
        <v>682735.68</v>
      </c>
      <c r="G42" s="65">
        <f>G40+G41</f>
        <v>0</v>
      </c>
      <c r="H42" s="65">
        <f t="shared" ref="H42:O42" si="3">H40+H41</f>
        <v>0</v>
      </c>
      <c r="I42" s="65">
        <f t="shared" si="3"/>
        <v>52267.5</v>
      </c>
      <c r="J42" s="65">
        <f t="shared" si="3"/>
        <v>105052.5</v>
      </c>
      <c r="K42" s="65">
        <f t="shared" si="3"/>
        <v>346725</v>
      </c>
      <c r="L42" s="65">
        <f t="shared" si="3"/>
        <v>297624.59999999998</v>
      </c>
      <c r="M42" s="65">
        <f t="shared" si="3"/>
        <v>51750</v>
      </c>
      <c r="N42" s="65"/>
      <c r="O42" s="65">
        <f t="shared" si="3"/>
        <v>853419.6</v>
      </c>
    </row>
    <row r="43" spans="1:15">
      <c r="A43" s="15"/>
      <c r="B43" s="15"/>
      <c r="C43" s="15"/>
      <c r="D43" s="15"/>
      <c r="E43" s="22"/>
      <c r="H43" s="56"/>
      <c r="I43" s="15"/>
      <c r="J43" s="15"/>
      <c r="K43" s="15"/>
      <c r="L43" s="56"/>
      <c r="M43" s="15"/>
      <c r="N43" s="56"/>
    </row>
    <row r="44" spans="1:15">
      <c r="A44" s="15" t="s">
        <v>21</v>
      </c>
      <c r="B44" s="15"/>
      <c r="C44" s="15"/>
      <c r="D44" s="15"/>
      <c r="E44" s="10">
        <f>E48+E46</f>
        <v>953419.60000000009</v>
      </c>
      <c r="G44" s="65">
        <f>G42+G9</f>
        <v>50000</v>
      </c>
      <c r="H44" s="65">
        <f>H42+H9</f>
        <v>50000</v>
      </c>
      <c r="I44" s="65">
        <f t="shared" ref="I44:M44" si="4">I42+I9</f>
        <v>52267.5</v>
      </c>
      <c r="J44" s="65">
        <f t="shared" si="4"/>
        <v>105052.5</v>
      </c>
      <c r="K44" s="65">
        <f t="shared" si="4"/>
        <v>346725</v>
      </c>
      <c r="L44" s="65">
        <f t="shared" si="4"/>
        <v>297624.59999999998</v>
      </c>
      <c r="M44" s="65">
        <f t="shared" si="4"/>
        <v>51750</v>
      </c>
      <c r="N44" s="65"/>
      <c r="O44" s="65">
        <f>SUM(G44:M44)</f>
        <v>953419.6</v>
      </c>
    </row>
    <row r="45" spans="1:15">
      <c r="A45" s="15"/>
      <c r="B45" s="15"/>
      <c r="C45" s="15"/>
      <c r="D45" s="15"/>
      <c r="E45" s="22"/>
      <c r="H45" s="15"/>
      <c r="I45" s="15"/>
      <c r="J45" s="15"/>
      <c r="K45" s="15"/>
      <c r="L45" s="15"/>
      <c r="M45" s="15"/>
      <c r="N45" s="15"/>
    </row>
    <row r="46" spans="1:15">
      <c r="A46" s="15" t="s">
        <v>177</v>
      </c>
      <c r="B46" s="15"/>
      <c r="C46" s="15"/>
      <c r="D46" s="15"/>
      <c r="E46" s="10">
        <f>E42*0.8</f>
        <v>682735.68</v>
      </c>
      <c r="F46" s="118"/>
      <c r="H46" s="15"/>
      <c r="I46" s="15"/>
      <c r="J46" s="15"/>
      <c r="K46" s="15"/>
      <c r="L46" s="15"/>
      <c r="M46" s="15"/>
      <c r="N46" s="15"/>
    </row>
    <row r="47" spans="1:15">
      <c r="A47" s="15"/>
      <c r="B47" s="15"/>
      <c r="C47" s="15"/>
      <c r="D47" s="15"/>
      <c r="E47" s="56"/>
    </row>
    <row r="48" spans="1:15">
      <c r="A48" s="15" t="s">
        <v>14</v>
      </c>
      <c r="B48" s="15"/>
      <c r="C48" s="15"/>
      <c r="D48" s="15"/>
      <c r="E48" s="22">
        <f>(E42*0.2)+E8</f>
        <v>270683.92000000004</v>
      </c>
      <c r="F48" s="119">
        <f>E48/E44</f>
        <v>0.28390849107780036</v>
      </c>
    </row>
    <row r="49" spans="1:29">
      <c r="A49" s="15"/>
      <c r="B49" s="15"/>
      <c r="C49" s="15"/>
      <c r="D49" s="15"/>
      <c r="F49" s="119"/>
    </row>
    <row r="50" spans="1:29">
      <c r="F50" s="119"/>
    </row>
    <row r="51" spans="1:29">
      <c r="A51" s="21"/>
      <c r="B51" s="15"/>
      <c r="C51" s="15"/>
      <c r="D51" s="15"/>
      <c r="E51" s="22"/>
      <c r="F51" s="15"/>
      <c r="N51" s="10">
        <f>$E51*6</f>
        <v>0</v>
      </c>
      <c r="S51" s="10">
        <f>$E51*6</f>
        <v>0</v>
      </c>
      <c r="X51" s="10">
        <f>$E51*6</f>
        <v>0</v>
      </c>
      <c r="AC51" s="10">
        <f>$E51*6</f>
        <v>0</v>
      </c>
    </row>
    <row r="52" spans="1:29">
      <c r="A52" s="21"/>
      <c r="B52" s="15"/>
      <c r="C52" s="15"/>
      <c r="D52" s="15"/>
      <c r="E52" s="22"/>
      <c r="F52" s="15"/>
      <c r="S52" s="10">
        <f>$E52*6</f>
        <v>0</v>
      </c>
      <c r="AC52" s="10">
        <f>$E52*6</f>
        <v>0</v>
      </c>
    </row>
  </sheetData>
  <mergeCells count="3">
    <mergeCell ref="I1:L1"/>
    <mergeCell ref="G2:J2"/>
    <mergeCell ref="K2:N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Q81"/>
  <sheetViews>
    <sheetView zoomScale="75" zoomScaleNormal="75" workbookViewId="0">
      <selection activeCell="L82" sqref="L82"/>
    </sheetView>
  </sheetViews>
  <sheetFormatPr defaultRowHeight="15"/>
  <cols>
    <col min="1" max="1" width="55.140625" customWidth="1"/>
    <col min="2" max="2" width="12.5703125" bestFit="1" customWidth="1"/>
    <col min="3" max="3" width="15" bestFit="1" customWidth="1"/>
    <col min="4" max="4" width="10.42578125" bestFit="1" customWidth="1"/>
    <col min="5" max="5" width="15.7109375" bestFit="1" customWidth="1"/>
    <col min="6" max="6" width="17" customWidth="1"/>
    <col min="7" max="7" width="18.28515625" bestFit="1" customWidth="1"/>
    <col min="8" max="8" width="4.5703125" customWidth="1"/>
    <col min="9" max="11" width="4.42578125" customWidth="1"/>
    <col min="12" max="12" width="12.7109375" bestFit="1" customWidth="1"/>
    <col min="13" max="13" width="13.42578125" customWidth="1"/>
    <col min="14" max="14" width="12.7109375" bestFit="1" customWidth="1"/>
    <col min="15" max="15" width="9.85546875" bestFit="1" customWidth="1"/>
    <col min="16" max="16" width="10.28515625" customWidth="1"/>
  </cols>
  <sheetData>
    <row r="1" spans="1:15">
      <c r="A1" t="s">
        <v>0</v>
      </c>
    </row>
    <row r="2" spans="1:15">
      <c r="H2" s="218" t="s">
        <v>10</v>
      </c>
      <c r="I2" s="220"/>
      <c r="J2" s="220"/>
      <c r="K2" s="220"/>
      <c r="L2" s="218" t="s">
        <v>11</v>
      </c>
      <c r="M2" s="223"/>
      <c r="N2" s="223"/>
      <c r="O2" s="219"/>
    </row>
    <row r="3" spans="1:15">
      <c r="H3" s="74" t="s">
        <v>15</v>
      </c>
      <c r="I3" s="11" t="s">
        <v>16</v>
      </c>
      <c r="J3" s="75" t="s">
        <v>17</v>
      </c>
      <c r="K3" s="75" t="s">
        <v>18</v>
      </c>
      <c r="L3" s="168" t="s">
        <v>15</v>
      </c>
      <c r="M3" s="11" t="s">
        <v>16</v>
      </c>
      <c r="N3" s="11" t="s">
        <v>17</v>
      </c>
      <c r="O3" s="169" t="s">
        <v>18</v>
      </c>
    </row>
    <row r="4" spans="1:15" ht="30.75" thickBot="1">
      <c r="A4" s="13" t="s">
        <v>98</v>
      </c>
      <c r="B4" s="13" t="s">
        <v>1</v>
      </c>
      <c r="C4" s="13" t="s">
        <v>2</v>
      </c>
      <c r="D4" s="13" t="s">
        <v>3</v>
      </c>
      <c r="E4" s="13" t="s">
        <v>4</v>
      </c>
      <c r="F4" s="83" t="s">
        <v>99</v>
      </c>
      <c r="G4" s="13" t="s">
        <v>5</v>
      </c>
      <c r="H4" s="7"/>
      <c r="I4" s="1"/>
      <c r="J4" s="1"/>
      <c r="K4" s="1"/>
      <c r="L4" s="7"/>
      <c r="M4" s="1"/>
      <c r="N4" s="1"/>
      <c r="O4" s="173"/>
    </row>
    <row r="5" spans="1:15" ht="15.75" thickTop="1">
      <c r="A5" t="s">
        <v>100</v>
      </c>
      <c r="H5" s="84"/>
      <c r="I5" s="85"/>
      <c r="J5" s="86"/>
      <c r="K5" s="86"/>
      <c r="L5" s="84"/>
      <c r="M5" s="85"/>
      <c r="N5" s="85"/>
      <c r="O5" s="103"/>
    </row>
    <row r="6" spans="1:15">
      <c r="A6" s="4"/>
      <c r="H6" s="84"/>
      <c r="I6" s="85"/>
      <c r="J6" s="86"/>
      <c r="K6" s="86"/>
      <c r="L6" s="84"/>
      <c r="M6" s="85"/>
      <c r="N6" s="85"/>
      <c r="O6" s="103"/>
    </row>
    <row r="7" spans="1:15" ht="15.75" thickBot="1">
      <c r="A7" s="2" t="s">
        <v>101</v>
      </c>
      <c r="B7" s="1"/>
      <c r="C7" s="1"/>
      <c r="D7" s="1"/>
      <c r="E7" s="5"/>
      <c r="F7" s="5"/>
      <c r="G7" s="138" t="s">
        <v>54</v>
      </c>
      <c r="H7" s="87"/>
      <c r="I7" s="88"/>
      <c r="J7" s="88"/>
      <c r="K7" s="88"/>
      <c r="L7" s="87"/>
      <c r="M7" s="88"/>
      <c r="N7" s="88"/>
      <c r="O7" s="100"/>
    </row>
    <row r="8" spans="1:15" s="15" customFormat="1" ht="15.75" thickTop="1">
      <c r="A8" s="66" t="s">
        <v>102</v>
      </c>
      <c r="G8" s="140"/>
      <c r="H8" s="89"/>
      <c r="I8" s="90"/>
      <c r="J8" s="91"/>
      <c r="K8" s="91"/>
      <c r="L8" s="89"/>
      <c r="M8" s="90"/>
      <c r="N8" s="90"/>
      <c r="O8" s="102"/>
    </row>
    <row r="9" spans="1:15" s="15" customFormat="1">
      <c r="A9" s="92" t="s">
        <v>103</v>
      </c>
      <c r="B9" s="15" t="s">
        <v>27</v>
      </c>
      <c r="C9" s="15" t="s">
        <v>104</v>
      </c>
      <c r="D9" s="15" t="s">
        <v>8</v>
      </c>
      <c r="E9" s="91">
        <v>37260</v>
      </c>
      <c r="F9" s="70" t="s">
        <v>105</v>
      </c>
      <c r="G9" s="143"/>
      <c r="H9" s="93"/>
      <c r="I9" s="94"/>
      <c r="J9" s="95"/>
      <c r="K9" s="95"/>
      <c r="L9" s="89">
        <f>E9*0.5</f>
        <v>18630</v>
      </c>
      <c r="M9" s="90">
        <f>E9*0.5</f>
        <v>18630</v>
      </c>
      <c r="N9" s="90"/>
      <c r="O9" s="102"/>
    </row>
    <row r="10" spans="1:15" s="15" customFormat="1">
      <c r="A10" s="92" t="s">
        <v>106</v>
      </c>
      <c r="B10" s="15" t="s">
        <v>56</v>
      </c>
      <c r="C10" s="15" t="s">
        <v>104</v>
      </c>
      <c r="D10" s="15" t="s">
        <v>8</v>
      </c>
      <c r="E10" s="91">
        <v>6210</v>
      </c>
      <c r="F10" s="70" t="s">
        <v>107</v>
      </c>
      <c r="G10" s="143"/>
      <c r="H10" s="89"/>
      <c r="I10" s="90"/>
      <c r="J10" s="91"/>
      <c r="K10" s="91"/>
      <c r="L10" s="89"/>
      <c r="M10" s="90">
        <f>SUM(E10)</f>
        <v>6210</v>
      </c>
      <c r="N10" s="90"/>
      <c r="O10" s="102"/>
    </row>
    <row r="11" spans="1:15" s="15" customFormat="1">
      <c r="A11" s="92" t="s">
        <v>108</v>
      </c>
      <c r="B11" s="15" t="s">
        <v>56</v>
      </c>
      <c r="C11" s="15" t="s">
        <v>104</v>
      </c>
      <c r="D11" s="15" t="s">
        <v>8</v>
      </c>
      <c r="E11" s="91">
        <v>745.2</v>
      </c>
      <c r="F11" s="70" t="s">
        <v>107</v>
      </c>
      <c r="G11" s="143"/>
      <c r="H11" s="89"/>
      <c r="I11" s="90"/>
      <c r="J11" s="91"/>
      <c r="K11" s="91"/>
      <c r="L11" s="89"/>
      <c r="M11" s="90">
        <f>SUM(E11)</f>
        <v>745.2</v>
      </c>
      <c r="N11" s="90"/>
      <c r="O11" s="102"/>
    </row>
    <row r="12" spans="1:15" s="15" customFormat="1">
      <c r="A12" s="14"/>
      <c r="E12" s="70"/>
      <c r="F12" s="70"/>
      <c r="G12" s="140"/>
      <c r="H12" s="89"/>
      <c r="I12" s="90"/>
      <c r="J12" s="91"/>
      <c r="K12" s="91"/>
      <c r="L12" s="89"/>
      <c r="M12" s="90"/>
      <c r="N12" s="90"/>
      <c r="O12" s="102"/>
    </row>
    <row r="13" spans="1:15" s="15" customFormat="1">
      <c r="A13" s="14" t="s">
        <v>109</v>
      </c>
      <c r="E13" s="70"/>
      <c r="F13" s="70"/>
      <c r="G13" s="140"/>
      <c r="H13" s="89"/>
      <c r="I13" s="90"/>
      <c r="J13" s="91"/>
      <c r="K13" s="91"/>
      <c r="L13" s="89"/>
      <c r="M13" s="90"/>
      <c r="N13" s="90"/>
      <c r="O13" s="102"/>
    </row>
    <row r="14" spans="1:15" s="15" customFormat="1">
      <c r="A14" s="92" t="s">
        <v>106</v>
      </c>
      <c r="B14" s="15" t="s">
        <v>56</v>
      </c>
      <c r="C14" s="15" t="s">
        <v>104</v>
      </c>
      <c r="D14" s="15" t="s">
        <v>8</v>
      </c>
      <c r="E14" s="91">
        <v>9563.4</v>
      </c>
      <c r="F14" s="70" t="s">
        <v>107</v>
      </c>
      <c r="G14" s="143"/>
      <c r="H14" s="89"/>
      <c r="I14" s="90"/>
      <c r="J14" s="91"/>
      <c r="K14" s="91"/>
      <c r="L14" s="89"/>
      <c r="M14" s="90">
        <f>SUM(E14)</f>
        <v>9563.4</v>
      </c>
      <c r="N14" s="90"/>
      <c r="O14" s="102"/>
    </row>
    <row r="15" spans="1:15" s="15" customFormat="1">
      <c r="A15" s="14"/>
      <c r="E15" s="70"/>
      <c r="F15" s="70"/>
      <c r="G15" s="140"/>
      <c r="H15" s="89"/>
      <c r="I15" s="90"/>
      <c r="J15" s="91"/>
      <c r="K15" s="91"/>
      <c r="L15" s="89"/>
      <c r="M15" s="90"/>
      <c r="N15" s="90"/>
      <c r="O15" s="102"/>
    </row>
    <row r="16" spans="1:15" s="15" customFormat="1">
      <c r="A16" s="14" t="s">
        <v>110</v>
      </c>
      <c r="E16" s="70"/>
      <c r="F16" s="70"/>
      <c r="G16" s="140"/>
      <c r="H16" s="89"/>
      <c r="I16" s="90"/>
      <c r="J16" s="91"/>
      <c r="K16" s="91"/>
      <c r="L16" s="89"/>
      <c r="M16" s="90"/>
      <c r="N16" s="90"/>
      <c r="O16" s="102"/>
    </row>
    <row r="17" spans="1:15" s="15" customFormat="1">
      <c r="A17" s="92" t="s">
        <v>106</v>
      </c>
      <c r="B17" s="15" t="s">
        <v>56</v>
      </c>
      <c r="C17" s="15" t="s">
        <v>111</v>
      </c>
      <c r="D17" s="15" t="s">
        <v>8</v>
      </c>
      <c r="E17" s="91">
        <v>16394.400000000001</v>
      </c>
      <c r="F17" s="70" t="s">
        <v>107</v>
      </c>
      <c r="G17" s="143"/>
      <c r="H17" s="89"/>
      <c r="I17" s="90"/>
      <c r="J17" s="91"/>
      <c r="K17" s="91"/>
      <c r="L17" s="89">
        <f>SUM(E17)</f>
        <v>16394.400000000001</v>
      </c>
      <c r="M17" s="90"/>
      <c r="N17" s="90"/>
      <c r="O17" s="102"/>
    </row>
    <row r="18" spans="1:15" s="15" customFormat="1">
      <c r="A18" s="14"/>
      <c r="E18" s="70"/>
      <c r="F18" s="70"/>
      <c r="G18" s="140"/>
      <c r="H18" s="89"/>
      <c r="I18" s="90"/>
      <c r="J18" s="91"/>
      <c r="K18" s="91"/>
      <c r="L18" s="89"/>
      <c r="M18" s="90"/>
      <c r="N18" s="90"/>
      <c r="O18" s="102"/>
    </row>
    <row r="19" spans="1:15" s="15" customFormat="1">
      <c r="A19" s="14" t="s">
        <v>112</v>
      </c>
      <c r="E19" s="70"/>
      <c r="F19" s="70"/>
      <c r="G19" s="140"/>
      <c r="H19" s="89"/>
      <c r="I19" s="90"/>
      <c r="J19" s="91"/>
      <c r="K19" s="91"/>
      <c r="L19" s="89"/>
      <c r="M19" s="90"/>
      <c r="N19" s="90"/>
      <c r="O19" s="102"/>
    </row>
    <row r="20" spans="1:15" s="15" customFormat="1">
      <c r="A20" s="92" t="s">
        <v>113</v>
      </c>
      <c r="B20" s="15" t="s">
        <v>27</v>
      </c>
      <c r="C20" s="15" t="s">
        <v>104</v>
      </c>
      <c r="D20" s="15" t="s">
        <v>8</v>
      </c>
      <c r="E20" s="91">
        <v>49680</v>
      </c>
      <c r="F20" s="70" t="s">
        <v>105</v>
      </c>
      <c r="G20" s="143"/>
      <c r="H20" s="89"/>
      <c r="I20" s="90"/>
      <c r="J20" s="91"/>
      <c r="K20" s="91"/>
      <c r="L20" s="89">
        <f>E20*0.5</f>
        <v>24840</v>
      </c>
      <c r="M20" s="90">
        <f>E20*0.5</f>
        <v>24840</v>
      </c>
      <c r="N20" s="90"/>
      <c r="O20" s="102"/>
    </row>
    <row r="21" spans="1:15" s="15" customFormat="1">
      <c r="A21" s="92" t="s">
        <v>106</v>
      </c>
      <c r="B21" s="15" t="s">
        <v>56</v>
      </c>
      <c r="C21" s="15" t="s">
        <v>104</v>
      </c>
      <c r="D21" s="15" t="s">
        <v>8</v>
      </c>
      <c r="E21" s="91">
        <v>5464.8</v>
      </c>
      <c r="F21" s="70" t="s">
        <v>105</v>
      </c>
      <c r="G21" s="143"/>
      <c r="H21" s="89"/>
      <c r="I21" s="90"/>
      <c r="J21" s="91"/>
      <c r="K21" s="91"/>
      <c r="L21" s="89"/>
      <c r="M21" s="90">
        <f>SUM(E21)</f>
        <v>5464.8</v>
      </c>
      <c r="N21" s="90"/>
      <c r="O21" s="102"/>
    </row>
    <row r="22" spans="1:15" s="15" customFormat="1">
      <c r="A22" s="14"/>
      <c r="E22" s="70"/>
      <c r="F22" s="70"/>
      <c r="G22" s="140"/>
      <c r="H22" s="89"/>
      <c r="I22" s="90"/>
      <c r="J22" s="91"/>
      <c r="K22" s="91"/>
      <c r="L22" s="89"/>
      <c r="M22" s="90"/>
      <c r="N22" s="90"/>
      <c r="O22" s="102"/>
    </row>
    <row r="23" spans="1:15" ht="15.75" thickBot="1">
      <c r="A23" s="2" t="s">
        <v>114</v>
      </c>
      <c r="B23" s="1"/>
      <c r="C23" s="1"/>
      <c r="D23" s="1"/>
      <c r="E23" s="96"/>
      <c r="F23" s="96"/>
      <c r="G23" s="138" t="s">
        <v>54</v>
      </c>
      <c r="H23" s="97"/>
      <c r="I23" s="98"/>
      <c r="J23" s="98"/>
      <c r="K23" s="98"/>
      <c r="L23" s="87"/>
      <c r="M23" s="88"/>
      <c r="N23" s="88"/>
      <c r="O23" s="100"/>
    </row>
    <row r="24" spans="1:15" s="15" customFormat="1" ht="15.75" thickTop="1">
      <c r="A24" s="18" t="s">
        <v>115</v>
      </c>
      <c r="E24" s="70"/>
      <c r="F24" s="70"/>
      <c r="G24" s="140"/>
      <c r="H24" s="89"/>
      <c r="I24" s="90"/>
      <c r="J24" s="91"/>
      <c r="K24" s="91"/>
      <c r="L24" s="89"/>
      <c r="M24" s="90"/>
      <c r="N24" s="90"/>
      <c r="O24" s="102"/>
    </row>
    <row r="25" spans="1:15" s="15" customFormat="1">
      <c r="A25" s="92" t="s">
        <v>106</v>
      </c>
      <c r="B25" s="15" t="s">
        <v>56</v>
      </c>
      <c r="C25" s="15" t="s">
        <v>104</v>
      </c>
      <c r="D25" s="15" t="s">
        <v>8</v>
      </c>
      <c r="E25" s="91">
        <v>5464.8</v>
      </c>
      <c r="F25" s="70" t="s">
        <v>105</v>
      </c>
      <c r="G25" s="143"/>
      <c r="H25" s="89"/>
      <c r="I25" s="90"/>
      <c r="J25" s="91"/>
      <c r="K25" s="91"/>
      <c r="L25" s="89">
        <f>SUM(E25)</f>
        <v>5464.8</v>
      </c>
      <c r="M25" s="90"/>
      <c r="N25" s="90"/>
      <c r="O25" s="102"/>
    </row>
    <row r="26" spans="1:15" s="15" customFormat="1">
      <c r="A26" s="92" t="s">
        <v>108</v>
      </c>
      <c r="B26" s="15" t="s">
        <v>56</v>
      </c>
      <c r="C26" s="15" t="s">
        <v>104</v>
      </c>
      <c r="D26" s="15" t="s">
        <v>8</v>
      </c>
      <c r="E26" s="91">
        <v>621</v>
      </c>
      <c r="F26" s="70" t="s">
        <v>105</v>
      </c>
      <c r="G26" s="143"/>
      <c r="H26" s="89"/>
      <c r="I26" s="90"/>
      <c r="J26" s="91"/>
      <c r="K26" s="91"/>
      <c r="L26" s="89">
        <f>SUM(E26)</f>
        <v>621</v>
      </c>
      <c r="M26" s="90"/>
      <c r="N26" s="90"/>
      <c r="O26" s="102"/>
    </row>
    <row r="27" spans="1:15" s="15" customFormat="1">
      <c r="A27" s="14"/>
      <c r="E27" s="70"/>
      <c r="F27" s="70"/>
      <c r="G27" s="140"/>
      <c r="H27" s="89"/>
      <c r="I27" s="90"/>
      <c r="J27" s="91"/>
      <c r="K27" s="91"/>
      <c r="L27" s="89"/>
      <c r="M27" s="90"/>
      <c r="N27" s="90"/>
      <c r="O27" s="102"/>
    </row>
    <row r="28" spans="1:15" s="15" customFormat="1">
      <c r="A28" s="14" t="s">
        <v>116</v>
      </c>
      <c r="E28" s="70"/>
      <c r="F28" s="70"/>
      <c r="G28" s="140"/>
      <c r="H28" s="89"/>
      <c r="I28" s="90"/>
      <c r="J28" s="91"/>
      <c r="K28" s="91"/>
      <c r="L28" s="89"/>
      <c r="M28" s="90"/>
      <c r="N28" s="90"/>
      <c r="O28" s="102"/>
    </row>
    <row r="29" spans="1:15" s="15" customFormat="1">
      <c r="A29" s="92" t="s">
        <v>106</v>
      </c>
      <c r="B29" s="15" t="s">
        <v>56</v>
      </c>
      <c r="C29" s="15" t="s">
        <v>104</v>
      </c>
      <c r="D29" s="15" t="s">
        <v>8</v>
      </c>
      <c r="E29" s="91">
        <v>4098.6000000000004</v>
      </c>
      <c r="F29" s="70" t="s">
        <v>105</v>
      </c>
      <c r="G29" s="143"/>
      <c r="H29" s="89"/>
      <c r="I29" s="90"/>
      <c r="J29" s="91"/>
      <c r="K29" s="91"/>
      <c r="L29" s="89">
        <f>SUM(E29)</f>
        <v>4098.6000000000004</v>
      </c>
      <c r="M29" s="90"/>
      <c r="N29" s="90"/>
      <c r="O29" s="102"/>
    </row>
    <row r="30" spans="1:15" s="15" customFormat="1">
      <c r="A30" s="92" t="s">
        <v>117</v>
      </c>
      <c r="B30" s="15" t="s">
        <v>27</v>
      </c>
      <c r="C30" s="15" t="s">
        <v>104</v>
      </c>
      <c r="D30" s="15" t="s">
        <v>8</v>
      </c>
      <c r="E30" s="91">
        <v>9936</v>
      </c>
      <c r="F30" s="70" t="s">
        <v>105</v>
      </c>
      <c r="G30" s="143"/>
      <c r="H30" s="89"/>
      <c r="I30" s="90"/>
      <c r="J30" s="91"/>
      <c r="K30" s="91"/>
      <c r="L30" s="89">
        <f>SUM(E30)</f>
        <v>9936</v>
      </c>
      <c r="M30" s="90"/>
      <c r="N30" s="90"/>
      <c r="O30" s="102"/>
    </row>
    <row r="31" spans="1:15" s="15" customFormat="1">
      <c r="A31" s="92" t="s">
        <v>118</v>
      </c>
      <c r="B31" s="15" t="s">
        <v>56</v>
      </c>
      <c r="C31" s="15" t="s">
        <v>104</v>
      </c>
      <c r="D31" s="15" t="s">
        <v>8</v>
      </c>
      <c r="E31" s="91">
        <v>1242</v>
      </c>
      <c r="F31" s="70" t="s">
        <v>105</v>
      </c>
      <c r="G31" s="143"/>
      <c r="H31" s="89"/>
      <c r="I31" s="90"/>
      <c r="J31" s="91"/>
      <c r="K31" s="91"/>
      <c r="L31" s="89">
        <f>SUM(E31)</f>
        <v>1242</v>
      </c>
      <c r="M31" s="90"/>
      <c r="N31" s="90"/>
      <c r="O31" s="102"/>
    </row>
    <row r="32" spans="1:15" s="15" customFormat="1">
      <c r="A32" s="14"/>
      <c r="E32" s="70"/>
      <c r="F32" s="70"/>
      <c r="G32" s="140"/>
      <c r="H32" s="89"/>
      <c r="I32" s="90"/>
      <c r="J32" s="91"/>
      <c r="K32" s="91"/>
      <c r="L32" s="191"/>
      <c r="M32" s="192"/>
      <c r="N32" s="192"/>
      <c r="O32" s="193"/>
    </row>
    <row r="33" spans="1:15" ht="15.75" thickBot="1">
      <c r="A33" s="2" t="s">
        <v>119</v>
      </c>
      <c r="B33" s="1"/>
      <c r="C33" s="1"/>
      <c r="D33" s="1"/>
      <c r="E33" s="96"/>
      <c r="F33" s="96"/>
      <c r="G33" s="144" t="s">
        <v>54</v>
      </c>
      <c r="H33" s="98"/>
      <c r="I33" s="98"/>
      <c r="J33" s="98"/>
      <c r="K33" s="99"/>
      <c r="L33" s="88"/>
      <c r="M33" s="88"/>
      <c r="N33" s="88"/>
      <c r="O33" s="100"/>
    </row>
    <row r="34" spans="1:15" ht="15.75" thickTop="1">
      <c r="A34" s="14" t="s">
        <v>120</v>
      </c>
      <c r="E34" s="20"/>
      <c r="F34" s="20"/>
      <c r="G34" s="145"/>
      <c r="H34" s="89"/>
      <c r="I34" s="91"/>
      <c r="J34" s="91"/>
      <c r="K34" s="102"/>
      <c r="L34" s="86"/>
      <c r="M34" s="86"/>
      <c r="N34" s="86"/>
      <c r="O34" s="103"/>
    </row>
    <row r="35" spans="1:15">
      <c r="A35" s="92" t="s">
        <v>121</v>
      </c>
      <c r="B35" t="s">
        <v>27</v>
      </c>
      <c r="C35" t="s">
        <v>104</v>
      </c>
      <c r="D35" s="15" t="s">
        <v>8</v>
      </c>
      <c r="E35" s="85">
        <v>6210</v>
      </c>
      <c r="F35" s="20" t="s">
        <v>105</v>
      </c>
      <c r="G35" s="143"/>
      <c r="H35" s="89"/>
      <c r="I35" s="91"/>
      <c r="J35" s="91"/>
      <c r="K35" s="102"/>
      <c r="L35" s="89">
        <f>SUM(E35)</f>
        <v>6210</v>
      </c>
      <c r="M35" s="86"/>
      <c r="N35" s="86"/>
      <c r="O35" s="103"/>
    </row>
    <row r="36" spans="1:15">
      <c r="A36" s="14"/>
      <c r="E36" s="104"/>
      <c r="F36" s="20"/>
      <c r="G36" s="145"/>
      <c r="H36" s="89"/>
      <c r="I36" s="91"/>
      <c r="J36" s="91"/>
      <c r="K36" s="102"/>
      <c r="L36" s="86"/>
      <c r="M36" s="86"/>
      <c r="N36" s="86"/>
      <c r="O36" s="103"/>
    </row>
    <row r="37" spans="1:15">
      <c r="A37" s="14" t="s">
        <v>122</v>
      </c>
      <c r="E37" s="104"/>
      <c r="F37" s="20"/>
      <c r="G37" s="145"/>
      <c r="H37" s="91"/>
      <c r="I37" s="91"/>
      <c r="J37" s="91"/>
      <c r="K37" s="102"/>
      <c r="L37" s="86"/>
      <c r="M37" s="86"/>
      <c r="N37" s="86"/>
      <c r="O37" s="103"/>
    </row>
    <row r="38" spans="1:15">
      <c r="A38" s="92" t="s">
        <v>113</v>
      </c>
      <c r="B38" t="s">
        <v>27</v>
      </c>
      <c r="C38" t="s">
        <v>104</v>
      </c>
      <c r="D38" s="15" t="s">
        <v>8</v>
      </c>
      <c r="E38" s="85">
        <v>39744</v>
      </c>
      <c r="F38" s="20" t="s">
        <v>105</v>
      </c>
      <c r="G38" s="143"/>
      <c r="H38" s="89"/>
      <c r="I38" s="91"/>
      <c r="J38" s="91"/>
      <c r="K38" s="102"/>
      <c r="L38" s="105">
        <f>SUM(E38*0.5)</f>
        <v>19872</v>
      </c>
      <c r="M38" s="105">
        <f>SUM(E38*0.5)</f>
        <v>19872</v>
      </c>
      <c r="N38" s="86"/>
      <c r="O38" s="103"/>
    </row>
    <row r="39" spans="1:15">
      <c r="A39" s="14"/>
      <c r="E39" s="104"/>
      <c r="F39" s="20"/>
      <c r="G39" s="145"/>
      <c r="H39" s="91"/>
      <c r="I39" s="91"/>
      <c r="J39" s="91"/>
      <c r="K39" s="102"/>
      <c r="L39" s="86"/>
      <c r="M39" s="86"/>
      <c r="N39" s="86"/>
      <c r="O39" s="103"/>
    </row>
    <row r="40" spans="1:15">
      <c r="A40" s="14" t="s">
        <v>123</v>
      </c>
      <c r="E40" s="104"/>
      <c r="F40" s="20"/>
      <c r="G40" s="145"/>
      <c r="H40" s="91"/>
      <c r="I40" s="91"/>
      <c r="J40" s="91"/>
      <c r="K40" s="102"/>
      <c r="L40" s="86"/>
      <c r="M40" s="86"/>
      <c r="N40" s="86"/>
      <c r="O40" s="103"/>
    </row>
    <row r="41" spans="1:15">
      <c r="A41" s="92" t="s">
        <v>113</v>
      </c>
      <c r="B41" t="s">
        <v>27</v>
      </c>
      <c r="C41" t="s">
        <v>104</v>
      </c>
      <c r="D41" s="15" t="s">
        <v>8</v>
      </c>
      <c r="E41" s="85">
        <v>80730</v>
      </c>
      <c r="F41" s="20" t="s">
        <v>105</v>
      </c>
      <c r="G41" s="143"/>
      <c r="H41" s="89"/>
      <c r="I41" s="91"/>
      <c r="J41" s="91"/>
      <c r="K41" s="102"/>
      <c r="L41" s="105">
        <f>SUM(E41*0.5)</f>
        <v>40365</v>
      </c>
      <c r="M41" s="105">
        <f>SUM(E41*0.5)</f>
        <v>40365</v>
      </c>
      <c r="N41" s="86"/>
      <c r="O41" s="103"/>
    </row>
    <row r="42" spans="1:15">
      <c r="A42" s="106"/>
      <c r="E42" s="104"/>
      <c r="F42" s="20"/>
      <c r="G42" s="145"/>
      <c r="H42" s="91"/>
      <c r="I42" s="91"/>
      <c r="J42" s="91"/>
      <c r="K42" s="102"/>
      <c r="L42" s="86"/>
      <c r="M42" s="86"/>
      <c r="N42" s="86"/>
      <c r="O42" s="103"/>
    </row>
    <row r="43" spans="1:15">
      <c r="A43" s="107" t="s">
        <v>124</v>
      </c>
      <c r="E43" s="104"/>
      <c r="F43" s="20"/>
      <c r="G43" s="145"/>
      <c r="H43" s="91"/>
      <c r="I43" s="91"/>
      <c r="J43" s="91"/>
      <c r="K43" s="102"/>
      <c r="L43" s="86"/>
      <c r="M43" s="86"/>
      <c r="N43" s="86"/>
      <c r="O43" s="103"/>
    </row>
    <row r="44" spans="1:15">
      <c r="A44" s="92" t="s">
        <v>125</v>
      </c>
      <c r="B44" t="s">
        <v>27</v>
      </c>
      <c r="C44" t="s">
        <v>104</v>
      </c>
      <c r="D44" s="15" t="s">
        <v>8</v>
      </c>
      <c r="E44" s="85">
        <v>93150</v>
      </c>
      <c r="F44" s="20" t="s">
        <v>107</v>
      </c>
      <c r="G44" s="143"/>
      <c r="H44" s="89"/>
      <c r="I44" s="91"/>
      <c r="J44" s="91"/>
      <c r="K44" s="102"/>
      <c r="L44" s="105">
        <f>SUM(E44*0.5)</f>
        <v>46575</v>
      </c>
      <c r="M44" s="105">
        <f>SUM(E44*0.5)</f>
        <v>46575</v>
      </c>
      <c r="N44" s="86"/>
      <c r="O44" s="103"/>
    </row>
    <row r="45" spans="1:15">
      <c r="A45" s="92" t="s">
        <v>106</v>
      </c>
      <c r="B45" t="s">
        <v>56</v>
      </c>
      <c r="C45" t="s">
        <v>104</v>
      </c>
      <c r="D45" s="15" t="s">
        <v>8</v>
      </c>
      <c r="E45" s="85">
        <v>13041</v>
      </c>
      <c r="F45" s="20" t="s">
        <v>105</v>
      </c>
      <c r="G45" s="143"/>
      <c r="H45" s="89"/>
      <c r="I45" s="91"/>
      <c r="J45" s="91"/>
      <c r="K45" s="102"/>
      <c r="M45" s="90">
        <f>SUM(E45)</f>
        <v>13041</v>
      </c>
      <c r="N45" s="86"/>
      <c r="O45" s="103"/>
    </row>
    <row r="46" spans="1:15">
      <c r="A46" s="92" t="s">
        <v>108</v>
      </c>
      <c r="B46" t="s">
        <v>56</v>
      </c>
      <c r="C46" t="s">
        <v>104</v>
      </c>
      <c r="D46" s="15" t="s">
        <v>8</v>
      </c>
      <c r="E46" s="85">
        <v>2235.6</v>
      </c>
      <c r="F46" s="20" t="s">
        <v>107</v>
      </c>
      <c r="G46" s="143"/>
      <c r="H46" s="89"/>
      <c r="I46" s="91"/>
      <c r="J46" s="91"/>
      <c r="K46" s="102"/>
      <c r="M46" s="90">
        <f>SUM(E46)</f>
        <v>2235.6</v>
      </c>
      <c r="N46" s="86"/>
      <c r="O46" s="103"/>
    </row>
    <row r="47" spans="1:15">
      <c r="A47" s="92" t="s">
        <v>126</v>
      </c>
      <c r="B47" t="s">
        <v>27</v>
      </c>
      <c r="C47" t="s">
        <v>104</v>
      </c>
      <c r="D47" s="15" t="s">
        <v>8</v>
      </c>
      <c r="E47" s="85">
        <v>37260</v>
      </c>
      <c r="F47" s="20" t="s">
        <v>105</v>
      </c>
      <c r="G47" s="143"/>
      <c r="H47" s="89"/>
      <c r="I47" s="91"/>
      <c r="J47" s="91"/>
      <c r="K47" s="102"/>
      <c r="L47" s="105">
        <f>SUM(E47*0.5)</f>
        <v>18630</v>
      </c>
      <c r="M47" s="105">
        <f>SUM(E47*0.5)</f>
        <v>18630</v>
      </c>
      <c r="N47" s="86"/>
      <c r="O47" s="103"/>
    </row>
    <row r="48" spans="1:15">
      <c r="A48" s="14"/>
      <c r="E48" s="104"/>
      <c r="F48" s="20"/>
      <c r="G48" s="145"/>
      <c r="H48" s="91"/>
      <c r="I48" s="91"/>
      <c r="J48" s="91"/>
      <c r="K48" s="102"/>
      <c r="L48" s="86"/>
      <c r="M48" s="86"/>
      <c r="N48" s="86"/>
      <c r="O48" s="103"/>
    </row>
    <row r="49" spans="1:15">
      <c r="A49" s="14" t="s">
        <v>127</v>
      </c>
      <c r="E49" s="104"/>
      <c r="F49" s="20"/>
      <c r="G49" s="145"/>
      <c r="H49" s="91"/>
      <c r="I49" s="91"/>
      <c r="J49" s="91"/>
      <c r="K49" s="102"/>
      <c r="L49" s="86"/>
      <c r="M49" s="86"/>
      <c r="N49" s="86"/>
      <c r="O49" s="103"/>
    </row>
    <row r="50" spans="1:15">
      <c r="A50" s="92" t="s">
        <v>128</v>
      </c>
      <c r="B50" t="s">
        <v>27</v>
      </c>
      <c r="C50" t="s">
        <v>104</v>
      </c>
      <c r="D50" s="15" t="s">
        <v>8</v>
      </c>
      <c r="E50" s="85">
        <v>12420</v>
      </c>
      <c r="F50" s="20" t="s">
        <v>105</v>
      </c>
      <c r="G50" s="143"/>
      <c r="H50" s="89"/>
      <c r="I50" s="91"/>
      <c r="J50" s="91"/>
      <c r="K50" s="102"/>
      <c r="L50" s="89">
        <f>E50*0.5</f>
        <v>6210</v>
      </c>
      <c r="M50" s="90">
        <f>E50*0.5</f>
        <v>6210</v>
      </c>
      <c r="N50" s="86"/>
      <c r="O50" s="103"/>
    </row>
    <row r="51" spans="1:15">
      <c r="A51" s="14"/>
      <c r="E51" s="104"/>
      <c r="F51" s="20"/>
      <c r="G51" s="145"/>
      <c r="H51" s="89"/>
      <c r="I51" s="91"/>
      <c r="J51" s="91"/>
      <c r="K51" s="102"/>
      <c r="L51" s="86"/>
      <c r="M51" s="86"/>
      <c r="N51" s="86"/>
      <c r="O51" s="103"/>
    </row>
    <row r="52" spans="1:15">
      <c r="A52" s="14" t="s">
        <v>129</v>
      </c>
      <c r="E52" s="104"/>
      <c r="F52" s="20"/>
      <c r="G52" s="145"/>
      <c r="H52" s="91"/>
      <c r="I52" s="91"/>
      <c r="J52" s="91"/>
      <c r="K52" s="102"/>
      <c r="L52" s="86"/>
      <c r="M52" s="86"/>
      <c r="N52" s="86"/>
      <c r="O52" s="103"/>
    </row>
    <row r="53" spans="1:15">
      <c r="A53" s="92" t="s">
        <v>130</v>
      </c>
      <c r="B53" t="s">
        <v>27</v>
      </c>
      <c r="C53" t="s">
        <v>104</v>
      </c>
      <c r="D53" s="15" t="s">
        <v>8</v>
      </c>
      <c r="E53" s="85">
        <v>8694</v>
      </c>
      <c r="F53" s="20" t="s">
        <v>105</v>
      </c>
      <c r="G53" s="143"/>
      <c r="H53" s="89"/>
      <c r="I53" s="91"/>
      <c r="J53" s="91"/>
      <c r="K53" s="102"/>
      <c r="L53" s="89">
        <f>E53*0.5</f>
        <v>4347</v>
      </c>
      <c r="M53" s="90">
        <f>E53*0.5</f>
        <v>4347</v>
      </c>
      <c r="N53" s="86"/>
      <c r="O53" s="103"/>
    </row>
    <row r="54" spans="1:15">
      <c r="A54" s="14"/>
      <c r="E54" s="104"/>
      <c r="F54" s="20"/>
      <c r="G54" s="145"/>
      <c r="H54" s="89"/>
      <c r="I54" s="91"/>
      <c r="J54" s="91"/>
      <c r="K54" s="102"/>
      <c r="L54" s="86"/>
      <c r="M54" s="86"/>
      <c r="N54" s="86"/>
      <c r="O54" s="103"/>
    </row>
    <row r="55" spans="1:15">
      <c r="A55" s="14" t="s">
        <v>131</v>
      </c>
      <c r="E55" s="104"/>
      <c r="F55" s="20"/>
      <c r="G55" s="145"/>
      <c r="H55" s="91"/>
      <c r="I55" s="91"/>
      <c r="J55" s="91"/>
      <c r="K55" s="102"/>
      <c r="L55" s="86"/>
      <c r="M55" s="86"/>
      <c r="N55" s="86"/>
      <c r="O55" s="103"/>
    </row>
    <row r="56" spans="1:15">
      <c r="A56" s="92" t="s">
        <v>106</v>
      </c>
      <c r="B56" t="s">
        <v>56</v>
      </c>
      <c r="C56" t="s">
        <v>111</v>
      </c>
      <c r="D56" s="15" t="s">
        <v>8</v>
      </c>
      <c r="E56" s="85">
        <v>15028.2</v>
      </c>
      <c r="F56" s="20" t="s">
        <v>107</v>
      </c>
      <c r="G56" s="143"/>
      <c r="H56" s="89"/>
      <c r="I56" s="91"/>
      <c r="J56" s="91"/>
      <c r="K56" s="102"/>
      <c r="L56" s="89">
        <f>E56*0.5</f>
        <v>7514.1</v>
      </c>
      <c r="M56" s="90">
        <f>E56*0.5</f>
        <v>7514.1</v>
      </c>
      <c r="N56" s="86"/>
      <c r="O56" s="103"/>
    </row>
    <row r="57" spans="1:15">
      <c r="A57" s="14"/>
      <c r="E57" s="104"/>
      <c r="F57" s="20"/>
      <c r="G57" s="145"/>
      <c r="H57" s="89"/>
      <c r="I57" s="91"/>
      <c r="J57" s="91"/>
      <c r="K57" s="102"/>
      <c r="L57" s="86"/>
      <c r="M57" s="86"/>
      <c r="N57" s="86"/>
      <c r="O57" s="103"/>
    </row>
    <row r="58" spans="1:15">
      <c r="A58" s="14" t="s">
        <v>132</v>
      </c>
      <c r="E58" s="104"/>
      <c r="F58" s="20"/>
      <c r="G58" s="145"/>
      <c r="H58" s="91"/>
      <c r="I58" s="91"/>
      <c r="J58" s="91"/>
      <c r="K58" s="102"/>
      <c r="L58" s="86"/>
      <c r="M58" s="86"/>
      <c r="N58" s="86"/>
      <c r="O58" s="103"/>
    </row>
    <row r="59" spans="1:15">
      <c r="A59" s="92" t="s">
        <v>106</v>
      </c>
      <c r="B59" t="s">
        <v>56</v>
      </c>
      <c r="C59" t="s">
        <v>111</v>
      </c>
      <c r="D59" s="15" t="s">
        <v>8</v>
      </c>
      <c r="E59" s="85">
        <v>15028</v>
      </c>
      <c r="F59" s="20" t="s">
        <v>107</v>
      </c>
      <c r="G59" s="143"/>
      <c r="H59" s="89"/>
      <c r="I59" s="91"/>
      <c r="J59" s="91"/>
      <c r="K59" s="102"/>
      <c r="L59" s="89">
        <f>E59*0.5</f>
        <v>7514</v>
      </c>
      <c r="M59" s="90">
        <f>E59*0.5</f>
        <v>7514</v>
      </c>
      <c r="N59" s="86"/>
      <c r="O59" s="103"/>
    </row>
    <row r="60" spans="1:15">
      <c r="A60" s="14"/>
      <c r="E60" s="20"/>
      <c r="F60" s="20"/>
      <c r="G60" s="145"/>
      <c r="H60" s="91"/>
      <c r="I60" s="91"/>
      <c r="J60" s="91"/>
      <c r="K60" s="102"/>
      <c r="L60" s="86"/>
      <c r="M60" s="86"/>
      <c r="N60" s="86"/>
      <c r="O60" s="103"/>
    </row>
    <row r="61" spans="1:15" ht="15.75" thickBot="1">
      <c r="A61" s="2" t="s">
        <v>133</v>
      </c>
      <c r="B61" s="1"/>
      <c r="C61" s="1"/>
      <c r="D61" s="1"/>
      <c r="E61" s="96"/>
      <c r="F61" s="96"/>
      <c r="G61" s="144" t="s">
        <v>54</v>
      </c>
      <c r="H61" s="98"/>
      <c r="I61" s="98"/>
      <c r="J61" s="98"/>
      <c r="K61" s="99"/>
      <c r="L61" s="88"/>
      <c r="M61" s="88"/>
      <c r="N61" s="88"/>
      <c r="O61" s="100"/>
    </row>
    <row r="62" spans="1:15" ht="15.75" thickTop="1">
      <c r="A62" s="14" t="s">
        <v>134</v>
      </c>
      <c r="E62" s="20"/>
      <c r="F62" s="20"/>
      <c r="G62" s="145"/>
      <c r="H62" s="91"/>
      <c r="I62" s="91"/>
      <c r="J62" s="91"/>
      <c r="K62" s="102"/>
      <c r="L62" s="86"/>
      <c r="M62" s="86"/>
      <c r="N62" s="86"/>
      <c r="O62" s="103"/>
    </row>
    <row r="63" spans="1:15">
      <c r="A63" s="92" t="s">
        <v>106</v>
      </c>
      <c r="B63" t="s">
        <v>56</v>
      </c>
      <c r="C63" t="s">
        <v>111</v>
      </c>
      <c r="D63" s="15" t="s">
        <v>8</v>
      </c>
      <c r="E63" s="85">
        <v>14407</v>
      </c>
      <c r="F63" s="20" t="s">
        <v>107</v>
      </c>
      <c r="G63" s="143"/>
      <c r="H63" s="89"/>
      <c r="I63" s="91"/>
      <c r="J63" s="91"/>
      <c r="K63" s="102"/>
      <c r="M63" s="90">
        <f>SUM(E63)</f>
        <v>14407</v>
      </c>
      <c r="N63" s="86"/>
      <c r="O63" s="103"/>
    </row>
    <row r="64" spans="1:15">
      <c r="A64" s="14"/>
      <c r="E64" s="20"/>
      <c r="F64" s="20"/>
      <c r="G64" s="101"/>
      <c r="H64" s="89"/>
      <c r="I64" s="86"/>
      <c r="J64" s="86"/>
      <c r="K64" s="103"/>
      <c r="L64" s="86"/>
      <c r="M64" s="86"/>
      <c r="N64" s="86"/>
      <c r="O64" s="103"/>
    </row>
    <row r="65" spans="1:17">
      <c r="E65" s="20"/>
      <c r="F65" s="20"/>
    </row>
    <row r="66" spans="1:17">
      <c r="A66" t="s">
        <v>21</v>
      </c>
      <c r="E66" s="20">
        <f>SUM(E9:E63)</f>
        <v>484628</v>
      </c>
      <c r="F66" s="20"/>
      <c r="G66" s="20"/>
      <c r="L66" s="86">
        <f>SUM(L8:L65)</f>
        <v>238463.90000000002</v>
      </c>
      <c r="M66" s="86">
        <f>SUM(M8:M65)</f>
        <v>246164.1</v>
      </c>
    </row>
    <row r="67" spans="1:17">
      <c r="A67" t="s">
        <v>172</v>
      </c>
      <c r="E67" s="20">
        <f>E66*0.035</f>
        <v>16961.980000000003</v>
      </c>
      <c r="F67" s="20"/>
      <c r="L67" s="86">
        <f>L66*0.035</f>
        <v>8346.2365000000009</v>
      </c>
      <c r="M67" s="86">
        <f>M66*0.035</f>
        <v>8615.7435000000005</v>
      </c>
    </row>
    <row r="68" spans="1:17">
      <c r="A68" t="s">
        <v>21</v>
      </c>
      <c r="E68" s="20">
        <f>E66+E67</f>
        <v>501589.98</v>
      </c>
      <c r="F68" s="20"/>
      <c r="H68" s="16"/>
      <c r="I68" s="16"/>
      <c r="J68" s="16"/>
      <c r="K68" s="16"/>
      <c r="L68" s="166">
        <f>L66+L67</f>
        <v>246810.13650000002</v>
      </c>
      <c r="M68" s="166">
        <f>M66+M67</f>
        <v>254779.84350000002</v>
      </c>
      <c r="N68" s="16"/>
      <c r="O68" s="16"/>
      <c r="P68" s="16"/>
      <c r="Q68" s="16"/>
    </row>
    <row r="69" spans="1:17">
      <c r="E69" s="20"/>
      <c r="F69" s="20"/>
      <c r="H69" s="16"/>
      <c r="I69" s="16"/>
      <c r="J69" s="16"/>
      <c r="K69" s="16"/>
      <c r="L69" s="16"/>
      <c r="M69" s="16"/>
      <c r="N69" s="166"/>
      <c r="O69" s="16"/>
      <c r="P69" s="16"/>
      <c r="Q69" s="16"/>
    </row>
    <row r="70" spans="1:17">
      <c r="A70" t="s">
        <v>54</v>
      </c>
      <c r="E70" s="20">
        <f>E68*0.8</f>
        <v>401271.984</v>
      </c>
      <c r="F70" s="20"/>
      <c r="H70" s="16"/>
      <c r="I70" s="16"/>
      <c r="J70" s="16"/>
      <c r="K70" s="16"/>
      <c r="L70" s="16"/>
      <c r="M70" s="16"/>
      <c r="N70" s="16"/>
      <c r="O70" s="16"/>
      <c r="P70" s="16"/>
      <c r="Q70" s="16"/>
    </row>
    <row r="71" spans="1:17">
      <c r="E71" s="20"/>
      <c r="F71" s="20"/>
      <c r="H71" s="16"/>
      <c r="I71" s="16"/>
      <c r="J71" s="16"/>
      <c r="K71" s="16"/>
      <c r="L71" s="16"/>
      <c r="M71" s="16"/>
      <c r="N71" s="16"/>
      <c r="O71" s="16"/>
      <c r="P71" s="16"/>
      <c r="Q71" s="16"/>
    </row>
    <row r="72" spans="1:17">
      <c r="A72" t="s">
        <v>185</v>
      </c>
      <c r="E72" s="20">
        <f>E68-E70</f>
        <v>100317.99599999998</v>
      </c>
      <c r="F72" s="120">
        <f>E72/E68</f>
        <v>0.19999999999999998</v>
      </c>
      <c r="H72" s="16"/>
      <c r="I72" s="16"/>
      <c r="J72" s="16"/>
      <c r="K72" s="16"/>
      <c r="L72" s="16"/>
      <c r="M72" s="16"/>
      <c r="N72" s="16"/>
      <c r="O72" s="16"/>
      <c r="P72" s="16"/>
      <c r="Q72" s="16"/>
    </row>
    <row r="73" spans="1:17">
      <c r="E73" s="20"/>
      <c r="F73" s="20"/>
      <c r="H73" s="16"/>
      <c r="I73" s="16"/>
      <c r="J73" s="16"/>
      <c r="K73" s="16"/>
      <c r="L73" s="16"/>
      <c r="M73" s="16"/>
      <c r="N73" s="16"/>
      <c r="O73" s="16"/>
      <c r="P73" s="16"/>
      <c r="Q73" s="16"/>
    </row>
    <row r="74" spans="1:17">
      <c r="D74" s="20"/>
      <c r="E74" s="20"/>
      <c r="F74" s="20"/>
    </row>
    <row r="75" spans="1:17">
      <c r="D75" s="20"/>
      <c r="E75" s="20"/>
      <c r="F75" s="20"/>
    </row>
    <row r="76" spans="1:17">
      <c r="D76" s="20"/>
      <c r="E76" s="20"/>
      <c r="F76" s="20"/>
    </row>
    <row r="77" spans="1:17">
      <c r="D77" s="20"/>
      <c r="E77" s="20"/>
      <c r="F77" s="20"/>
    </row>
    <row r="78" spans="1:17">
      <c r="D78" s="20"/>
      <c r="E78" s="20"/>
      <c r="F78" s="20"/>
    </row>
    <row r="79" spans="1:17">
      <c r="D79" s="20"/>
    </row>
    <row r="80" spans="1:17">
      <c r="D80" s="20"/>
    </row>
    <row r="81" spans="4:4">
      <c r="D81" s="20"/>
    </row>
  </sheetData>
  <mergeCells count="2">
    <mergeCell ref="H2:K2"/>
    <mergeCell ref="L2:O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2:N31"/>
  <sheetViews>
    <sheetView topLeftCell="C1" zoomScale="75" zoomScaleNormal="75" workbookViewId="0">
      <selection activeCell="L8" sqref="L8"/>
    </sheetView>
  </sheetViews>
  <sheetFormatPr defaultRowHeight="15"/>
  <cols>
    <col min="1" max="1" width="46.140625" customWidth="1"/>
    <col min="2" max="4" width="13.42578125" customWidth="1"/>
    <col min="5" max="5" width="14.42578125" customWidth="1"/>
    <col min="6" max="6" width="17.5703125" customWidth="1"/>
    <col min="7" max="7" width="10.42578125" bestFit="1" customWidth="1"/>
    <col min="8" max="8" width="10" bestFit="1" customWidth="1"/>
    <col min="9" max="10" width="10.42578125" bestFit="1" customWidth="1"/>
    <col min="11" max="11" width="9.7109375" customWidth="1"/>
    <col min="12" max="14" width="11.5703125" bestFit="1" customWidth="1"/>
  </cols>
  <sheetData>
    <row r="2" spans="1:14" ht="20.25">
      <c r="A2" s="23" t="s">
        <v>195</v>
      </c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4">
      <c r="A3" s="24"/>
      <c r="B3" s="24"/>
      <c r="C3" s="24"/>
      <c r="D3" s="24"/>
      <c r="E3" s="24"/>
      <c r="F3" s="24"/>
      <c r="G3" s="224" t="s">
        <v>10</v>
      </c>
      <c r="H3" s="225"/>
      <c r="I3" s="225"/>
      <c r="J3" s="225"/>
      <c r="K3" s="224" t="s">
        <v>11</v>
      </c>
      <c r="L3" s="226"/>
      <c r="M3" s="226"/>
      <c r="N3" s="227"/>
    </row>
    <row r="4" spans="1:14">
      <c r="A4" s="24"/>
      <c r="B4" s="24"/>
      <c r="C4" s="24"/>
      <c r="D4" s="24"/>
      <c r="E4" s="24"/>
      <c r="F4" s="24"/>
      <c r="G4" s="25" t="s">
        <v>15</v>
      </c>
      <c r="H4" s="26" t="s">
        <v>16</v>
      </c>
      <c r="I4" s="27" t="s">
        <v>17</v>
      </c>
      <c r="J4" s="27" t="s">
        <v>18</v>
      </c>
      <c r="K4" s="170" t="s">
        <v>15</v>
      </c>
      <c r="L4" s="26" t="s">
        <v>16</v>
      </c>
      <c r="M4" s="26" t="s">
        <v>17</v>
      </c>
      <c r="N4" s="196" t="s">
        <v>18</v>
      </c>
    </row>
    <row r="5" spans="1:14" ht="15.75" thickBot="1">
      <c r="A5" s="28" t="s">
        <v>6</v>
      </c>
      <c r="B5" s="28" t="s">
        <v>1</v>
      </c>
      <c r="C5" s="28" t="s">
        <v>2</v>
      </c>
      <c r="D5" s="28" t="s">
        <v>3</v>
      </c>
      <c r="E5" s="28" t="s">
        <v>4</v>
      </c>
      <c r="F5" s="28" t="s">
        <v>5</v>
      </c>
      <c r="G5" s="29"/>
      <c r="H5" s="30"/>
      <c r="I5" s="30"/>
      <c r="J5" s="30"/>
      <c r="K5" s="29"/>
      <c r="L5" s="30"/>
      <c r="M5" s="30"/>
      <c r="N5" s="197"/>
    </row>
    <row r="6" spans="1:14" ht="15.75" thickTop="1">
      <c r="A6" s="41" t="s">
        <v>24</v>
      </c>
      <c r="B6" s="42"/>
      <c r="C6" s="42"/>
      <c r="D6" s="42"/>
      <c r="E6" s="42"/>
      <c r="F6" s="24"/>
      <c r="G6" s="31"/>
      <c r="H6" s="24"/>
      <c r="I6" s="24"/>
      <c r="J6" s="24"/>
      <c r="K6" s="31"/>
      <c r="L6" s="32"/>
      <c r="M6" s="32"/>
      <c r="N6" s="198"/>
    </row>
    <row r="7" spans="1:14">
      <c r="A7" s="50" t="s">
        <v>29</v>
      </c>
      <c r="B7" s="24"/>
      <c r="C7" s="24"/>
      <c r="D7" s="24"/>
      <c r="E7" s="24"/>
      <c r="F7" s="24"/>
      <c r="G7" s="31"/>
      <c r="H7" s="24"/>
      <c r="I7" s="24"/>
      <c r="J7" s="24"/>
      <c r="K7" s="31"/>
      <c r="L7" s="32"/>
      <c r="M7" s="32"/>
      <c r="N7" s="198"/>
    </row>
    <row r="8" spans="1:14" ht="15.75" thickBot="1">
      <c r="A8" s="50"/>
      <c r="B8" s="24"/>
      <c r="C8" s="1" t="s">
        <v>187</v>
      </c>
      <c r="D8" s="1"/>
      <c r="E8" s="1"/>
      <c r="F8" s="1"/>
      <c r="G8" s="31"/>
      <c r="H8" s="24"/>
      <c r="I8" s="24"/>
      <c r="J8" s="24"/>
      <c r="K8" s="31"/>
      <c r="L8" s="32"/>
      <c r="M8" s="32"/>
      <c r="N8" s="198"/>
    </row>
    <row r="9" spans="1:14" ht="16.5" thickTop="1" thickBot="1">
      <c r="A9" s="33" t="s">
        <v>22</v>
      </c>
      <c r="B9" s="30" t="s">
        <v>9</v>
      </c>
      <c r="C9" s="30" t="s">
        <v>7</v>
      </c>
      <c r="D9" s="30" t="s">
        <v>28</v>
      </c>
      <c r="E9" s="34"/>
      <c r="F9" s="35" t="s">
        <v>7</v>
      </c>
      <c r="G9" s="29"/>
      <c r="H9" s="30"/>
      <c r="I9" s="30"/>
      <c r="J9" s="30"/>
      <c r="K9" s="29"/>
      <c r="L9" s="30"/>
      <c r="M9" s="30"/>
      <c r="N9" s="197"/>
    </row>
    <row r="10" spans="1:14" ht="15.75" thickTop="1">
      <c r="A10" s="41"/>
      <c r="B10" s="42"/>
      <c r="C10" s="42"/>
      <c r="D10" s="42"/>
      <c r="E10" s="38"/>
      <c r="F10" s="36"/>
      <c r="G10" s="37"/>
      <c r="H10" s="38"/>
      <c r="I10" s="38"/>
      <c r="J10" s="38"/>
      <c r="K10" s="39"/>
      <c r="L10" s="199"/>
      <c r="M10" s="32"/>
      <c r="N10" s="198"/>
    </row>
    <row r="11" spans="1:14">
      <c r="A11" s="41"/>
      <c r="B11" s="42"/>
      <c r="C11" s="42"/>
      <c r="D11" s="42"/>
      <c r="E11" s="42"/>
      <c r="F11" s="27"/>
      <c r="G11" s="43"/>
      <c r="H11" s="42"/>
      <c r="I11" s="42"/>
      <c r="J11" s="42"/>
      <c r="K11" s="31"/>
      <c r="L11" s="32"/>
      <c r="M11" s="32"/>
      <c r="N11" s="198"/>
    </row>
    <row r="12" spans="1:14" ht="15.75" thickBot="1">
      <c r="A12" s="33" t="s">
        <v>26</v>
      </c>
      <c r="B12" s="30" t="s">
        <v>27</v>
      </c>
      <c r="C12" s="30" t="s">
        <v>7</v>
      </c>
      <c r="D12" s="30" t="s">
        <v>8</v>
      </c>
      <c r="E12" s="34"/>
      <c r="F12" s="154" t="s">
        <v>25</v>
      </c>
      <c r="G12" s="45"/>
      <c r="H12" s="44"/>
      <c r="I12" s="44"/>
      <c r="J12" s="44"/>
      <c r="K12" s="45"/>
      <c r="L12" s="30"/>
      <c r="M12" s="30"/>
      <c r="N12" s="197"/>
    </row>
    <row r="13" spans="1:14" ht="15.75" thickTop="1">
      <c r="A13" s="42"/>
      <c r="B13" s="42"/>
      <c r="C13" s="42"/>
      <c r="D13" s="42"/>
      <c r="E13" s="48"/>
      <c r="F13" s="155"/>
      <c r="G13" s="49"/>
      <c r="H13" s="48"/>
      <c r="I13" s="48"/>
      <c r="J13" s="48"/>
      <c r="K13" s="46"/>
      <c r="L13" s="199"/>
      <c r="M13" s="199"/>
      <c r="N13" s="200"/>
    </row>
    <row r="14" spans="1:14">
      <c r="A14" s="149"/>
      <c r="B14" s="42"/>
      <c r="C14" s="42"/>
      <c r="D14" s="42"/>
      <c r="E14" s="48"/>
      <c r="F14" s="157"/>
      <c r="G14" s="47"/>
      <c r="H14" s="48"/>
      <c r="I14" s="48"/>
      <c r="J14" s="48"/>
      <c r="K14" s="46"/>
      <c r="L14" s="199"/>
      <c r="M14" s="199"/>
      <c r="N14" s="200"/>
    </row>
    <row r="15" spans="1:14">
      <c r="A15" s="42" t="s">
        <v>30</v>
      </c>
      <c r="B15" s="42"/>
      <c r="C15" s="42"/>
      <c r="D15" s="42"/>
      <c r="E15" s="48"/>
      <c r="F15" s="157"/>
      <c r="G15" s="47"/>
      <c r="H15" s="48"/>
      <c r="I15" s="48"/>
      <c r="J15" s="48"/>
      <c r="K15" s="46"/>
      <c r="L15" s="199"/>
      <c r="M15" s="199"/>
      <c r="N15" s="200"/>
    </row>
    <row r="16" spans="1:14">
      <c r="A16" s="42"/>
      <c r="B16" s="42" t="s">
        <v>33</v>
      </c>
      <c r="C16" s="42"/>
      <c r="D16" s="42"/>
      <c r="E16" s="150">
        <v>37500</v>
      </c>
      <c r="F16" s="157"/>
      <c r="G16" s="47"/>
      <c r="H16" s="158">
        <v>37500</v>
      </c>
      <c r="I16" s="158"/>
      <c r="J16" s="158"/>
      <c r="K16" s="201"/>
      <c r="L16" s="199"/>
      <c r="M16" s="199"/>
      <c r="N16" s="200"/>
    </row>
    <row r="17" spans="1:14">
      <c r="A17" s="42"/>
      <c r="B17" s="42" t="s">
        <v>34</v>
      </c>
      <c r="C17" s="42"/>
      <c r="D17" s="42"/>
      <c r="E17" s="48"/>
      <c r="F17" s="157"/>
      <c r="G17" s="47"/>
      <c r="H17" s="158"/>
      <c r="I17" s="158"/>
      <c r="J17" s="158"/>
      <c r="K17" s="201"/>
      <c r="L17" s="199"/>
      <c r="M17" s="199"/>
      <c r="N17" s="200"/>
    </row>
    <row r="18" spans="1:14">
      <c r="A18" s="42"/>
      <c r="B18" s="42" t="s">
        <v>31</v>
      </c>
      <c r="C18" s="42"/>
      <c r="D18" s="42"/>
      <c r="E18" s="150">
        <v>250000</v>
      </c>
      <c r="F18" s="157">
        <f>E18*0.8</f>
        <v>200000</v>
      </c>
      <c r="G18" s="47"/>
      <c r="H18" s="158"/>
      <c r="I18" s="158">
        <v>50000</v>
      </c>
      <c r="J18" s="158">
        <v>100000</v>
      </c>
      <c r="K18" s="201">
        <v>100000</v>
      </c>
      <c r="L18" s="199"/>
      <c r="M18" s="199"/>
      <c r="N18" s="200"/>
    </row>
    <row r="19" spans="1:14">
      <c r="A19" s="202"/>
      <c r="B19" s="202" t="s">
        <v>32</v>
      </c>
      <c r="C19" s="202"/>
      <c r="D19" s="202"/>
      <c r="E19" s="203">
        <v>400000</v>
      </c>
      <c r="F19" s="204">
        <f>E19*0.8</f>
        <v>320000</v>
      </c>
      <c r="G19" s="205"/>
      <c r="H19" s="206"/>
      <c r="I19" s="206">
        <v>200000</v>
      </c>
      <c r="J19" s="206">
        <v>160000</v>
      </c>
      <c r="K19" s="207">
        <v>40000</v>
      </c>
      <c r="L19" s="208"/>
      <c r="M19" s="208"/>
      <c r="N19" s="209"/>
    </row>
    <row r="20" spans="1:14">
      <c r="A20" s="42"/>
      <c r="B20" s="42"/>
      <c r="C20" s="42"/>
      <c r="D20" s="42"/>
      <c r="E20" s="150"/>
      <c r="F20" s="158"/>
      <c r="G20" s="24"/>
      <c r="H20" s="24"/>
      <c r="I20" s="24"/>
      <c r="J20" s="24"/>
      <c r="K20" s="24"/>
      <c r="L20" s="24"/>
      <c r="M20" s="24"/>
      <c r="N20" s="24"/>
    </row>
    <row r="21" spans="1:14">
      <c r="A21" s="42" t="s">
        <v>192</v>
      </c>
      <c r="B21" s="42"/>
      <c r="C21" s="42"/>
      <c r="D21" s="42"/>
      <c r="E21" s="151">
        <f>E9+E12+SUM(E16:E19)</f>
        <v>687500</v>
      </c>
      <c r="F21" s="15"/>
      <c r="G21" s="24"/>
      <c r="H21" s="24"/>
      <c r="I21" s="40">
        <f>SUM(I18:I20)</f>
        <v>250000</v>
      </c>
      <c r="J21" s="40">
        <f>SUM(J18:J20)</f>
        <v>260000</v>
      </c>
      <c r="K21" s="40">
        <f>SUM(K18:K20)</f>
        <v>140000</v>
      </c>
      <c r="L21" s="40"/>
      <c r="M21" s="24"/>
      <c r="N21" s="24"/>
    </row>
    <row r="22" spans="1:14">
      <c r="A22" s="42"/>
      <c r="B22" s="42"/>
      <c r="C22" s="42"/>
      <c r="D22" s="42"/>
      <c r="E22" s="151"/>
      <c r="F22" s="42"/>
      <c r="G22" s="24"/>
      <c r="H22" s="24"/>
      <c r="I22" s="24"/>
      <c r="J22" s="24"/>
      <c r="K22" s="24"/>
      <c r="L22" s="24"/>
      <c r="M22" s="24"/>
      <c r="N22" s="24"/>
    </row>
    <row r="23" spans="1:14">
      <c r="A23" s="42" t="s">
        <v>193</v>
      </c>
      <c r="B23" s="42"/>
      <c r="C23" s="42"/>
      <c r="D23" s="42"/>
      <c r="E23" s="151">
        <f>E18+E19</f>
        <v>650000</v>
      </c>
      <c r="F23" s="157">
        <f>SUM(F14:F19)</f>
        <v>520000</v>
      </c>
      <c r="G23" s="24"/>
      <c r="H23" s="24"/>
      <c r="I23" s="24"/>
      <c r="J23" s="24"/>
      <c r="K23" s="24"/>
      <c r="L23" s="24"/>
      <c r="M23" s="24"/>
      <c r="N23" s="24"/>
    </row>
    <row r="24" spans="1:14">
      <c r="A24" s="42" t="s">
        <v>173</v>
      </c>
      <c r="B24" s="42"/>
      <c r="C24" s="42"/>
      <c r="D24" s="42"/>
      <c r="E24" s="151">
        <f>E23*0.035</f>
        <v>22750.000000000004</v>
      </c>
      <c r="F24" s="156">
        <f>E24</f>
        <v>22750.000000000004</v>
      </c>
      <c r="G24" s="167"/>
      <c r="H24" s="167"/>
      <c r="I24" s="167">
        <f>$F24/3</f>
        <v>7583.3333333333348</v>
      </c>
      <c r="J24" s="167">
        <f>$F24/3</f>
        <v>7583.3333333333348</v>
      </c>
      <c r="K24" s="167">
        <f>$F24/3</f>
        <v>7583.3333333333348</v>
      </c>
      <c r="L24" s="167"/>
      <c r="M24" s="167"/>
      <c r="N24" s="167"/>
    </row>
    <row r="25" spans="1:14">
      <c r="A25" s="42" t="s">
        <v>176</v>
      </c>
      <c r="B25" s="42"/>
      <c r="C25" s="42"/>
      <c r="D25" s="42"/>
      <c r="E25" s="151">
        <f>E23+E24</f>
        <v>672750</v>
      </c>
      <c r="F25" s="159">
        <f>F23+E24</f>
        <v>542750</v>
      </c>
      <c r="G25" s="24"/>
      <c r="H25" s="38">
        <v>37500</v>
      </c>
      <c r="I25" s="40">
        <f>I21+I24</f>
        <v>257583.33333333334</v>
      </c>
      <c r="J25" s="40">
        <f>J21+J24</f>
        <v>267583.33333333331</v>
      </c>
      <c r="K25" s="40">
        <f>K21+K24</f>
        <v>147583.33333333334</v>
      </c>
      <c r="M25" s="24"/>
      <c r="N25" s="24"/>
    </row>
    <row r="26" spans="1:14">
      <c r="A26" s="42"/>
      <c r="B26" s="42"/>
      <c r="C26" s="42"/>
      <c r="D26" s="42"/>
      <c r="E26" s="151"/>
      <c r="F26" s="152"/>
      <c r="G26" s="24"/>
      <c r="H26" s="24"/>
      <c r="I26" s="24"/>
      <c r="J26" s="24"/>
      <c r="K26" s="24"/>
      <c r="M26" s="24"/>
      <c r="N26" s="24"/>
    </row>
    <row r="27" spans="1:14">
      <c r="A27" s="42" t="s">
        <v>21</v>
      </c>
      <c r="B27" s="42"/>
      <c r="C27" s="42"/>
      <c r="D27" s="42"/>
      <c r="E27" s="151">
        <f>E25+E16</f>
        <v>710250</v>
      </c>
      <c r="F27" s="42"/>
      <c r="G27" s="24"/>
      <c r="H27" s="24"/>
      <c r="I27" s="24"/>
      <c r="J27" s="24"/>
      <c r="K27" s="40">
        <f>SUM(H25:K25)</f>
        <v>710250.00000000012</v>
      </c>
      <c r="L27" s="24"/>
      <c r="M27" s="24"/>
      <c r="N27" s="24"/>
    </row>
    <row r="28" spans="1:14">
      <c r="A28" s="42"/>
      <c r="B28" s="42"/>
      <c r="C28" s="42"/>
      <c r="D28" s="42"/>
      <c r="E28" s="151"/>
      <c r="F28" s="152"/>
      <c r="G28" s="24"/>
      <c r="H28" s="24"/>
      <c r="I28" s="24"/>
      <c r="J28" s="24"/>
      <c r="K28" s="24"/>
      <c r="L28" s="167"/>
      <c r="M28" s="24"/>
      <c r="N28" s="24"/>
    </row>
    <row r="29" spans="1:14">
      <c r="A29" s="42" t="s">
        <v>13</v>
      </c>
      <c r="B29" s="42"/>
      <c r="C29" s="42"/>
      <c r="D29" s="42"/>
      <c r="E29" s="151">
        <f>F25</f>
        <v>542750</v>
      </c>
      <c r="F29" s="15"/>
      <c r="G29" s="24"/>
      <c r="H29" s="24"/>
      <c r="I29" s="24"/>
      <c r="J29" s="24"/>
      <c r="K29" s="24"/>
      <c r="L29" s="40">
        <f>K27-H25</f>
        <v>672750.00000000012</v>
      </c>
      <c r="M29" s="24"/>
      <c r="N29" s="24"/>
    </row>
    <row r="30" spans="1:14">
      <c r="A30" s="42"/>
      <c r="B30" s="42"/>
      <c r="C30" s="42"/>
      <c r="D30" s="42"/>
      <c r="E30" s="151"/>
      <c r="F30" s="15"/>
      <c r="G30" s="24"/>
      <c r="H30" s="24"/>
      <c r="I30" s="24"/>
      <c r="J30" s="24"/>
      <c r="K30" s="24"/>
      <c r="L30" s="24"/>
      <c r="M30" s="24"/>
      <c r="N30" s="24"/>
    </row>
    <row r="31" spans="1:14">
      <c r="A31" s="42" t="s">
        <v>184</v>
      </c>
      <c r="B31" s="42"/>
      <c r="C31" s="42"/>
      <c r="D31" s="42"/>
      <c r="E31" s="151">
        <f>E27-E29</f>
        <v>167500</v>
      </c>
      <c r="F31" s="153">
        <f>E31/E27</f>
        <v>0.23583245336149244</v>
      </c>
      <c r="G31" s="24"/>
      <c r="H31" s="24"/>
      <c r="I31" s="24"/>
      <c r="J31" s="24"/>
      <c r="K31" s="24"/>
      <c r="L31" s="24"/>
      <c r="M31" s="24"/>
      <c r="N31" s="24"/>
    </row>
  </sheetData>
  <mergeCells count="2">
    <mergeCell ref="G3:J3"/>
    <mergeCell ref="K3:N3"/>
  </mergeCells>
  <pageMargins left="0.7" right="0.7" top="0.75" bottom="0.75" header="0.3" footer="0.3"/>
  <pageSetup paperSize="17" scale="6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A41"/>
  <sheetViews>
    <sheetView zoomScale="75" zoomScaleNormal="75" workbookViewId="0">
      <selection activeCell="N37" sqref="N37"/>
    </sheetView>
  </sheetViews>
  <sheetFormatPr defaultRowHeight="15"/>
  <cols>
    <col min="1" max="1" width="32.7109375" customWidth="1"/>
    <col min="3" max="3" width="11.140625" customWidth="1"/>
    <col min="4" max="4" width="11.85546875" customWidth="1"/>
    <col min="5" max="5" width="13" bestFit="1" customWidth="1"/>
    <col min="6" max="6" width="13.5703125" customWidth="1"/>
    <col min="7" max="7" width="15.140625" bestFit="1" customWidth="1"/>
    <col min="8" max="8" width="10.42578125" bestFit="1" customWidth="1"/>
    <col min="9" max="9" width="12.28515625" customWidth="1"/>
    <col min="10" max="10" width="12" customWidth="1"/>
    <col min="11" max="11" width="11.7109375" customWidth="1"/>
    <col min="12" max="13" width="12.7109375" customWidth="1"/>
    <col min="14" max="14" width="12.140625" bestFit="1" customWidth="1"/>
    <col min="15" max="15" width="9.28515625" bestFit="1" customWidth="1"/>
  </cols>
  <sheetData>
    <row r="1" spans="1:27">
      <c r="A1" t="s">
        <v>0</v>
      </c>
    </row>
    <row r="2" spans="1:27">
      <c r="G2" s="218" t="s">
        <v>10</v>
      </c>
      <c r="H2" s="220"/>
      <c r="I2" s="220"/>
      <c r="J2" s="220"/>
      <c r="K2" s="218" t="s">
        <v>11</v>
      </c>
      <c r="L2" s="220"/>
      <c r="M2" s="220"/>
      <c r="N2" s="220"/>
      <c r="O2" s="218" t="s">
        <v>12</v>
      </c>
      <c r="P2" s="220"/>
      <c r="Q2" s="220"/>
      <c r="R2" s="220"/>
      <c r="S2" s="218" t="s">
        <v>19</v>
      </c>
      <c r="T2" s="220"/>
      <c r="U2" s="220"/>
      <c r="V2" s="220"/>
      <c r="W2" s="218" t="s">
        <v>20</v>
      </c>
      <c r="X2" s="220"/>
      <c r="Y2" s="220"/>
      <c r="Z2" s="220"/>
      <c r="AA2" s="6"/>
    </row>
    <row r="3" spans="1:27">
      <c r="G3" s="51" t="s">
        <v>15</v>
      </c>
      <c r="H3" s="11" t="s">
        <v>16</v>
      </c>
      <c r="I3" s="52" t="s">
        <v>17</v>
      </c>
      <c r="J3" s="52" t="s">
        <v>18</v>
      </c>
      <c r="K3" s="51" t="s">
        <v>15</v>
      </c>
      <c r="L3" s="11" t="s">
        <v>16</v>
      </c>
      <c r="M3" s="52" t="s">
        <v>17</v>
      </c>
      <c r="N3" s="52" t="s">
        <v>18</v>
      </c>
      <c r="O3" s="51" t="s">
        <v>15</v>
      </c>
      <c r="P3" s="11" t="s">
        <v>16</v>
      </c>
      <c r="Q3" s="52" t="s">
        <v>17</v>
      </c>
      <c r="R3" s="52" t="s">
        <v>18</v>
      </c>
      <c r="S3" s="51" t="s">
        <v>15</v>
      </c>
      <c r="T3" s="11" t="s">
        <v>16</v>
      </c>
      <c r="U3" s="52" t="s">
        <v>17</v>
      </c>
      <c r="V3" s="52" t="s">
        <v>18</v>
      </c>
      <c r="W3" s="51" t="s">
        <v>15</v>
      </c>
      <c r="X3" s="11" t="s">
        <v>16</v>
      </c>
      <c r="Y3" s="52" t="s">
        <v>17</v>
      </c>
      <c r="Z3" s="52" t="s">
        <v>18</v>
      </c>
      <c r="AA3" s="51"/>
    </row>
    <row r="4" spans="1:27" ht="15.75" thickBot="1">
      <c r="A4" s="13" t="s">
        <v>6</v>
      </c>
      <c r="B4" s="13" t="s">
        <v>1</v>
      </c>
      <c r="C4" s="13" t="s">
        <v>2</v>
      </c>
      <c r="D4" s="13" t="s">
        <v>3</v>
      </c>
      <c r="E4" s="13" t="s">
        <v>4</v>
      </c>
      <c r="F4" s="13" t="s">
        <v>5</v>
      </c>
      <c r="G4" s="7"/>
      <c r="H4" s="1"/>
      <c r="I4" s="1"/>
      <c r="J4" s="1"/>
      <c r="K4" s="7"/>
      <c r="L4" s="1"/>
      <c r="M4" s="1"/>
      <c r="N4" s="1"/>
      <c r="O4" s="7"/>
      <c r="P4" s="1"/>
      <c r="Q4" s="1"/>
      <c r="R4" s="1"/>
      <c r="S4" s="7"/>
      <c r="T4" s="1"/>
      <c r="U4" s="1"/>
      <c r="V4" s="1"/>
      <c r="W4" s="7"/>
      <c r="X4" s="1"/>
      <c r="Y4" s="1"/>
      <c r="Z4" s="1"/>
      <c r="AA4" s="17"/>
    </row>
    <row r="5" spans="1:27" ht="15.75" thickTop="1">
      <c r="A5" t="s">
        <v>35</v>
      </c>
      <c r="G5" s="6"/>
      <c r="H5" s="3"/>
      <c r="K5" s="6"/>
      <c r="O5" s="6"/>
      <c r="S5" s="6"/>
      <c r="W5" s="6"/>
      <c r="AA5" s="17"/>
    </row>
    <row r="6" spans="1:27">
      <c r="A6" s="4"/>
      <c r="G6" s="6"/>
      <c r="H6" s="3"/>
      <c r="K6" s="6"/>
      <c r="O6" s="6"/>
      <c r="S6" s="6"/>
      <c r="W6" s="6"/>
      <c r="AA6" s="17"/>
    </row>
    <row r="7" spans="1:27" ht="15.75" thickBot="1">
      <c r="A7" s="2" t="s">
        <v>36</v>
      </c>
      <c r="B7" s="1" t="s">
        <v>187</v>
      </c>
      <c r="C7" s="1"/>
      <c r="D7" s="1"/>
      <c r="E7" s="5"/>
      <c r="F7" s="12"/>
      <c r="G7" s="7"/>
      <c r="H7" s="1"/>
      <c r="I7" s="1"/>
      <c r="J7" s="1"/>
      <c r="K7" s="7"/>
      <c r="L7" s="1"/>
      <c r="M7" s="1"/>
      <c r="N7" s="1"/>
      <c r="O7" s="7"/>
      <c r="P7" s="1"/>
      <c r="Q7" s="1"/>
      <c r="R7" s="1"/>
      <c r="S7" s="7"/>
      <c r="T7" s="1"/>
      <c r="U7" s="1"/>
      <c r="V7" s="1"/>
      <c r="W7" s="7"/>
      <c r="X7" s="1"/>
      <c r="Y7" s="1"/>
      <c r="Z7" s="1"/>
      <c r="AA7" s="17"/>
    </row>
    <row r="8" spans="1:27" s="15" customFormat="1" ht="15.75" thickTop="1">
      <c r="A8" s="18" t="s">
        <v>37</v>
      </c>
      <c r="B8" s="55" t="s">
        <v>38</v>
      </c>
      <c r="F8" s="16"/>
      <c r="G8" s="17"/>
      <c r="H8" s="14"/>
      <c r="K8" s="17"/>
      <c r="O8" s="17"/>
      <c r="S8" s="17"/>
      <c r="W8" s="17"/>
      <c r="AA8" s="17"/>
    </row>
    <row r="9" spans="1:27" s="15" customFormat="1">
      <c r="A9" s="19" t="s">
        <v>39</v>
      </c>
      <c r="B9" s="55"/>
      <c r="C9" s="122" t="s">
        <v>40</v>
      </c>
      <c r="D9" s="123">
        <v>270000</v>
      </c>
      <c r="E9" s="123"/>
      <c r="F9" s="124" t="s">
        <v>40</v>
      </c>
      <c r="G9" s="125" t="s">
        <v>41</v>
      </c>
      <c r="H9" s="126"/>
      <c r="K9" s="17"/>
      <c r="O9" s="17"/>
      <c r="S9" s="17"/>
      <c r="W9" s="17"/>
      <c r="AA9" s="17"/>
    </row>
    <row r="10" spans="1:27" s="15" customFormat="1">
      <c r="A10" s="19" t="s">
        <v>42</v>
      </c>
      <c r="B10" s="55"/>
      <c r="C10" s="55" t="s">
        <v>43</v>
      </c>
      <c r="E10" s="56">
        <v>620000</v>
      </c>
      <c r="F10" s="16" t="s">
        <v>43</v>
      </c>
      <c r="G10" s="57">
        <v>104000</v>
      </c>
      <c r="H10" s="58">
        <v>104000</v>
      </c>
      <c r="I10" s="15" t="s">
        <v>44</v>
      </c>
      <c r="K10" s="17"/>
      <c r="O10" s="17"/>
      <c r="S10" s="17"/>
      <c r="W10" s="17"/>
      <c r="AA10" s="17"/>
    </row>
    <row r="11" spans="1:27" s="15" customFormat="1">
      <c r="A11" s="59" t="s">
        <v>45</v>
      </c>
      <c r="B11" s="55" t="s">
        <v>38</v>
      </c>
      <c r="C11" s="55"/>
      <c r="E11" s="56"/>
      <c r="F11" s="16"/>
      <c r="G11" s="57"/>
      <c r="H11" s="58"/>
      <c r="K11" s="17"/>
      <c r="O11" s="17"/>
      <c r="S11" s="17"/>
      <c r="W11" s="17"/>
      <c r="AA11" s="17"/>
    </row>
    <row r="12" spans="1:27" s="15" customFormat="1">
      <c r="A12" s="19" t="s">
        <v>46</v>
      </c>
      <c r="B12" s="55"/>
      <c r="C12" s="55" t="s">
        <v>43</v>
      </c>
      <c r="E12" s="56">
        <v>2500</v>
      </c>
      <c r="F12" s="16" t="s">
        <v>43</v>
      </c>
      <c r="G12" s="17" t="s">
        <v>47</v>
      </c>
      <c r="H12" s="14"/>
      <c r="K12" s="17"/>
      <c r="O12" s="17"/>
      <c r="S12" s="17"/>
      <c r="W12" s="17"/>
      <c r="AA12" s="17"/>
    </row>
    <row r="13" spans="1:27" s="15" customFormat="1">
      <c r="A13" s="19" t="s">
        <v>48</v>
      </c>
      <c r="B13" s="55"/>
      <c r="C13" s="55" t="s">
        <v>43</v>
      </c>
      <c r="E13" s="56">
        <v>3200</v>
      </c>
      <c r="F13" s="16" t="s">
        <v>43</v>
      </c>
      <c r="G13" s="17" t="s">
        <v>47</v>
      </c>
      <c r="H13" s="14"/>
      <c r="K13" s="17"/>
      <c r="O13" s="17"/>
      <c r="S13" s="17"/>
      <c r="W13" s="17"/>
      <c r="AA13" s="17"/>
    </row>
    <row r="14" spans="1:27" s="15" customFormat="1">
      <c r="A14" s="59" t="s">
        <v>49</v>
      </c>
      <c r="B14" s="55" t="s">
        <v>38</v>
      </c>
      <c r="F14" s="16"/>
      <c r="G14" s="17"/>
      <c r="H14" s="14"/>
      <c r="K14" s="17"/>
      <c r="O14" s="17"/>
      <c r="S14" s="17"/>
      <c r="W14" s="17"/>
      <c r="AA14" s="17"/>
    </row>
    <row r="15" spans="1:27" s="15" customFormat="1">
      <c r="A15" s="19" t="s">
        <v>46</v>
      </c>
      <c r="C15" s="55" t="s">
        <v>43</v>
      </c>
      <c r="E15" s="56">
        <v>2500</v>
      </c>
      <c r="F15" s="16" t="s">
        <v>43</v>
      </c>
      <c r="G15" s="17" t="s">
        <v>47</v>
      </c>
      <c r="H15" s="14"/>
      <c r="K15" s="17"/>
      <c r="O15" s="17"/>
      <c r="S15" s="17"/>
      <c r="W15" s="17"/>
      <c r="AA15" s="17"/>
    </row>
    <row r="16" spans="1:27" s="15" customFormat="1">
      <c r="A16" s="19" t="s">
        <v>48</v>
      </c>
      <c r="C16" s="55" t="s">
        <v>43</v>
      </c>
      <c r="E16" s="56">
        <v>3200</v>
      </c>
      <c r="F16" s="16" t="s">
        <v>43</v>
      </c>
      <c r="G16" s="17" t="s">
        <v>47</v>
      </c>
      <c r="H16" s="14"/>
      <c r="K16" s="17"/>
      <c r="O16" s="17"/>
      <c r="S16" s="17"/>
      <c r="W16" s="17"/>
      <c r="AA16" s="17"/>
    </row>
    <row r="17" spans="1:27" s="15" customFormat="1">
      <c r="A17" s="19"/>
      <c r="C17" s="55"/>
      <c r="E17" s="56"/>
      <c r="F17" s="16"/>
      <c r="G17" s="17"/>
      <c r="H17" s="14"/>
      <c r="K17" s="17"/>
      <c r="O17" s="17"/>
      <c r="S17" s="17"/>
      <c r="W17" s="17"/>
      <c r="AA17" s="17"/>
    </row>
    <row r="18" spans="1:27" s="15" customFormat="1">
      <c r="A18" s="59" t="s">
        <v>188</v>
      </c>
      <c r="C18" s="55"/>
      <c r="E18" s="65">
        <f>SUM(E10:E16)</f>
        <v>631400</v>
      </c>
      <c r="F18" s="16"/>
      <c r="G18" s="17"/>
      <c r="H18" s="14"/>
      <c r="K18" s="17"/>
      <c r="O18" s="17"/>
      <c r="S18" s="17"/>
      <c r="W18" s="17"/>
      <c r="AA18" s="17"/>
    </row>
    <row r="19" spans="1:27" s="15" customFormat="1">
      <c r="A19" s="19"/>
      <c r="C19" s="55"/>
      <c r="E19" s="56"/>
      <c r="F19" s="16"/>
      <c r="G19" s="17"/>
      <c r="H19" s="14"/>
      <c r="K19" s="17"/>
      <c r="O19" s="17"/>
      <c r="S19" s="17"/>
      <c r="W19" s="17"/>
      <c r="AA19" s="17"/>
    </row>
    <row r="20" spans="1:27" s="15" customFormat="1">
      <c r="A20" s="14"/>
      <c r="F20" s="16"/>
      <c r="G20" s="17"/>
      <c r="H20" s="14"/>
      <c r="K20" s="17"/>
      <c r="O20" s="17"/>
      <c r="S20" s="17"/>
      <c r="W20" s="17"/>
      <c r="AA20" s="17"/>
    </row>
    <row r="21" spans="1:27" ht="15.75" thickBot="1">
      <c r="A21" s="2" t="s">
        <v>50</v>
      </c>
      <c r="B21" s="1"/>
      <c r="C21" s="1"/>
      <c r="D21" s="1"/>
      <c r="E21" s="128" t="s">
        <v>182</v>
      </c>
      <c r="F21" s="142" t="s">
        <v>54</v>
      </c>
      <c r="G21" s="7"/>
      <c r="H21" s="1"/>
      <c r="I21" s="1"/>
      <c r="J21" s="1"/>
      <c r="K21" s="7"/>
      <c r="L21" s="1"/>
      <c r="M21" s="1"/>
      <c r="N21" s="1"/>
      <c r="O21" s="7"/>
      <c r="P21" s="1"/>
      <c r="Q21" s="1"/>
      <c r="R21" s="1"/>
      <c r="S21" s="7"/>
      <c r="T21" s="1"/>
      <c r="U21" s="1"/>
      <c r="V21" s="1"/>
      <c r="W21" s="7"/>
      <c r="X21" s="1"/>
      <c r="Y21" s="1"/>
      <c r="Z21" s="1"/>
      <c r="AA21" s="17"/>
    </row>
    <row r="22" spans="1:27" s="15" customFormat="1" ht="15.75" thickTop="1">
      <c r="A22" s="18" t="s">
        <v>51</v>
      </c>
      <c r="B22" s="15" t="s">
        <v>27</v>
      </c>
      <c r="F22" s="16"/>
      <c r="G22" s="17"/>
      <c r="H22" s="14"/>
      <c r="K22" s="17"/>
      <c r="O22" s="17"/>
      <c r="S22" s="17"/>
      <c r="W22" s="17"/>
      <c r="AA22" s="17"/>
    </row>
    <row r="23" spans="1:27" s="15" customFormat="1">
      <c r="A23" s="19" t="s">
        <v>52</v>
      </c>
      <c r="E23" s="56">
        <v>1110000</v>
      </c>
      <c r="F23" s="140" t="s">
        <v>43</v>
      </c>
      <c r="G23" s="17"/>
      <c r="H23" s="14"/>
      <c r="I23" s="56">
        <v>1100000</v>
      </c>
      <c r="J23" s="56">
        <v>1100000</v>
      </c>
      <c r="K23" s="17">
        <v>1100000</v>
      </c>
      <c r="L23" s="56">
        <v>1090000</v>
      </c>
      <c r="M23" s="56"/>
      <c r="O23" s="17"/>
      <c r="S23" s="17"/>
      <c r="W23" s="17"/>
      <c r="AA23" s="17"/>
    </row>
    <row r="24" spans="1:27" s="60" customFormat="1">
      <c r="A24" s="19" t="s">
        <v>53</v>
      </c>
      <c r="E24" s="56">
        <v>4390000</v>
      </c>
      <c r="F24" s="140" t="s">
        <v>54</v>
      </c>
      <c r="G24" s="61"/>
      <c r="H24" s="19"/>
      <c r="I24" s="56">
        <v>280000</v>
      </c>
      <c r="J24" s="56">
        <v>280000</v>
      </c>
      <c r="K24" s="57">
        <v>280000</v>
      </c>
      <c r="L24" s="56">
        <v>270000</v>
      </c>
      <c r="M24" s="56"/>
      <c r="O24" s="61"/>
      <c r="S24" s="61"/>
      <c r="W24" s="61"/>
      <c r="AA24" s="61"/>
    </row>
    <row r="25" spans="1:27" s="15" customFormat="1">
      <c r="A25" s="18" t="s">
        <v>45</v>
      </c>
      <c r="B25" s="15" t="s">
        <v>27</v>
      </c>
      <c r="F25" s="140"/>
      <c r="G25" s="17"/>
      <c r="H25" s="14"/>
      <c r="K25" s="17"/>
      <c r="O25" s="17"/>
      <c r="S25" s="17"/>
      <c r="W25" s="17"/>
      <c r="AA25" s="17"/>
    </row>
    <row r="26" spans="1:27" s="15" customFormat="1">
      <c r="A26" s="19" t="s">
        <v>55</v>
      </c>
      <c r="E26" s="56">
        <v>233782</v>
      </c>
      <c r="F26" s="140" t="s">
        <v>54</v>
      </c>
      <c r="G26" s="57">
        <v>233782</v>
      </c>
      <c r="H26" s="14"/>
      <c r="K26" s="17"/>
      <c r="O26" s="17"/>
      <c r="S26" s="17"/>
      <c r="W26" s="17"/>
      <c r="AA26" s="17"/>
    </row>
    <row r="27" spans="1:27" s="15" customFormat="1">
      <c r="A27" s="19" t="s">
        <v>56</v>
      </c>
      <c r="E27" s="56">
        <v>15000</v>
      </c>
      <c r="F27" s="140" t="s">
        <v>54</v>
      </c>
      <c r="G27" s="17"/>
      <c r="H27" s="58">
        <v>15000</v>
      </c>
      <c r="K27" s="17"/>
      <c r="O27" s="17"/>
      <c r="S27" s="17"/>
      <c r="W27" s="17"/>
      <c r="AA27" s="17"/>
    </row>
    <row r="28" spans="1:27" s="15" customFormat="1">
      <c r="A28" s="18" t="s">
        <v>49</v>
      </c>
      <c r="B28" s="15" t="s">
        <v>27</v>
      </c>
      <c r="F28" s="140"/>
      <c r="G28" s="17"/>
      <c r="H28" s="14"/>
      <c r="K28" s="17"/>
      <c r="O28" s="17"/>
      <c r="S28" s="17"/>
      <c r="W28" s="17"/>
      <c r="AA28" s="17"/>
    </row>
    <row r="29" spans="1:27" s="15" customFormat="1">
      <c r="A29" s="19" t="s">
        <v>55</v>
      </c>
      <c r="E29" s="56">
        <v>233782</v>
      </c>
      <c r="F29" s="140" t="s">
        <v>54</v>
      </c>
      <c r="G29" s="57">
        <v>233782</v>
      </c>
      <c r="H29" s="14"/>
      <c r="K29" s="17"/>
      <c r="O29" s="17"/>
      <c r="S29" s="17"/>
      <c r="W29" s="17"/>
      <c r="AA29" s="17"/>
    </row>
    <row r="30" spans="1:27" s="15" customFormat="1">
      <c r="A30" s="19" t="s">
        <v>56</v>
      </c>
      <c r="E30" s="56">
        <v>15000</v>
      </c>
      <c r="F30" s="140" t="s">
        <v>54</v>
      </c>
      <c r="G30" s="17"/>
      <c r="H30" s="58">
        <v>15000</v>
      </c>
      <c r="K30" s="17"/>
      <c r="O30" s="17"/>
      <c r="S30" s="17"/>
      <c r="W30" s="17"/>
      <c r="AA30" s="17"/>
    </row>
    <row r="31" spans="1:27" s="15" customFormat="1">
      <c r="A31" s="14"/>
      <c r="F31" s="140"/>
      <c r="G31" s="17"/>
      <c r="H31" s="14"/>
      <c r="K31" s="17"/>
      <c r="O31" s="17"/>
      <c r="S31" s="17"/>
      <c r="W31" s="17"/>
      <c r="AA31" s="17"/>
    </row>
    <row r="32" spans="1:27">
      <c r="A32" s="127" t="s">
        <v>181</v>
      </c>
      <c r="C32" s="121"/>
      <c r="E32" s="56">
        <f>SUM(E23:E30)</f>
        <v>5997564</v>
      </c>
      <c r="F32" s="141">
        <f>E32*0.8</f>
        <v>4798051.2</v>
      </c>
    </row>
    <row r="33" spans="1:14">
      <c r="A33" t="s">
        <v>179</v>
      </c>
      <c r="E33" s="56">
        <f>E32*0.035</f>
        <v>209914.74000000002</v>
      </c>
      <c r="F33" s="141"/>
      <c r="G33">
        <f>0.035*(SUM(G23:G31))</f>
        <v>16364.740000000002</v>
      </c>
      <c r="H33">
        <f t="shared" ref="H33:L33" si="0">0.035*(SUM(H23:H31))</f>
        <v>1050</v>
      </c>
      <c r="I33">
        <f t="shared" si="0"/>
        <v>48300.000000000007</v>
      </c>
      <c r="J33">
        <f t="shared" si="0"/>
        <v>48300.000000000007</v>
      </c>
      <c r="K33">
        <f t="shared" si="0"/>
        <v>48300.000000000007</v>
      </c>
      <c r="L33">
        <f t="shared" si="0"/>
        <v>47600.000000000007</v>
      </c>
    </row>
    <row r="34" spans="1:14">
      <c r="A34" t="s">
        <v>180</v>
      </c>
      <c r="E34" s="56">
        <f>E32+E33</f>
        <v>6207478.7400000002</v>
      </c>
      <c r="F34" s="141">
        <f>E34*0.8</f>
        <v>4965982.9920000006</v>
      </c>
    </row>
    <row r="35" spans="1:14">
      <c r="F35" s="139"/>
    </row>
    <row r="36" spans="1:14">
      <c r="A36" t="s">
        <v>21</v>
      </c>
      <c r="D36" s="10"/>
      <c r="E36" s="65">
        <f>E34+SUM(E9:E16)</f>
        <v>6838878.7400000002</v>
      </c>
      <c r="G36" s="65"/>
      <c r="H36" s="65"/>
      <c r="I36" s="65"/>
      <c r="J36" s="65"/>
      <c r="K36" s="65"/>
      <c r="L36" s="65"/>
    </row>
    <row r="37" spans="1:14">
      <c r="D37" s="10"/>
      <c r="E37" s="65"/>
      <c r="G37" s="65">
        <f>SUM(G23:G36)+SUM(E10:E16)-H10</f>
        <v>1011328.74</v>
      </c>
      <c r="H37" s="65">
        <f>SUM(H23:H36)+H10</f>
        <v>135050</v>
      </c>
      <c r="I37" s="65">
        <f t="shared" ref="I37:L37" si="1">SUM(I23:I36)</f>
        <v>1428300</v>
      </c>
      <c r="J37" s="65">
        <f t="shared" si="1"/>
        <v>1428300</v>
      </c>
      <c r="K37" s="65">
        <f t="shared" si="1"/>
        <v>1428300</v>
      </c>
      <c r="L37" s="65">
        <f t="shared" si="1"/>
        <v>1407600</v>
      </c>
      <c r="N37" s="165">
        <f>SUM(G37:M37)</f>
        <v>6838878.7400000002</v>
      </c>
    </row>
    <row r="38" spans="1:14">
      <c r="A38" t="s">
        <v>183</v>
      </c>
      <c r="D38" s="10"/>
      <c r="E38" s="65">
        <f>F34</f>
        <v>4965982.9920000006</v>
      </c>
      <c r="F38" s="119">
        <f>E38/E36</f>
        <v>0.72613993913277086</v>
      </c>
    </row>
    <row r="39" spans="1:14">
      <c r="D39" s="10"/>
      <c r="E39" s="65"/>
      <c r="F39" s="119"/>
    </row>
    <row r="40" spans="1:14">
      <c r="A40" t="s">
        <v>184</v>
      </c>
      <c r="D40" s="10"/>
      <c r="E40" s="65">
        <f>E36-E38</f>
        <v>1872895.7479999997</v>
      </c>
      <c r="F40" s="119">
        <f>E40/E36</f>
        <v>0.27386006086722919</v>
      </c>
    </row>
    <row r="41" spans="1:14">
      <c r="D41" s="10"/>
      <c r="E41" s="65"/>
      <c r="F41" s="119"/>
    </row>
  </sheetData>
  <mergeCells count="5">
    <mergeCell ref="G2:J2"/>
    <mergeCell ref="K2:N2"/>
    <mergeCell ref="O2:R2"/>
    <mergeCell ref="S2:V2"/>
    <mergeCell ref="W2:Z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P65"/>
  <sheetViews>
    <sheetView topLeftCell="A25" zoomScale="75" zoomScaleNormal="75" workbookViewId="0">
      <selection activeCell="P77" sqref="P77"/>
    </sheetView>
  </sheetViews>
  <sheetFormatPr defaultRowHeight="15"/>
  <cols>
    <col min="3" max="3" width="12" customWidth="1"/>
    <col min="4" max="4" width="15" customWidth="1"/>
    <col min="5" max="5" width="15.140625" customWidth="1"/>
    <col min="9" max="9" width="13.85546875" customWidth="1"/>
    <col min="10" max="15" width="11.28515625" customWidth="1"/>
  </cols>
  <sheetData>
    <row r="1" spans="1:15">
      <c r="A1" t="s">
        <v>0</v>
      </c>
    </row>
    <row r="2" spans="1:15">
      <c r="I2" s="228" t="s">
        <v>194</v>
      </c>
      <c r="J2" s="228"/>
      <c r="K2" s="228"/>
      <c r="L2" s="228"/>
    </row>
    <row r="3" spans="1:15">
      <c r="G3" s="218" t="s">
        <v>10</v>
      </c>
      <c r="H3" s="220"/>
      <c r="I3" s="220"/>
      <c r="J3" s="220"/>
      <c r="K3" s="218" t="s">
        <v>11</v>
      </c>
      <c r="L3" s="223"/>
      <c r="M3" s="223"/>
      <c r="N3" s="219"/>
    </row>
    <row r="4" spans="1:15">
      <c r="G4" s="74" t="s">
        <v>15</v>
      </c>
      <c r="H4" s="11" t="s">
        <v>16</v>
      </c>
      <c r="I4" s="75" t="s">
        <v>17</v>
      </c>
      <c r="J4" s="75" t="s">
        <v>18</v>
      </c>
      <c r="K4" s="168" t="s">
        <v>15</v>
      </c>
      <c r="L4" s="11" t="s">
        <v>16</v>
      </c>
      <c r="M4" s="11" t="s">
        <v>17</v>
      </c>
      <c r="N4" s="169" t="s">
        <v>18</v>
      </c>
    </row>
    <row r="5" spans="1:15" ht="15.75" thickBot="1">
      <c r="A5" s="77" t="s">
        <v>6</v>
      </c>
      <c r="B5" s="77" t="s">
        <v>1</v>
      </c>
      <c r="C5" s="77" t="s">
        <v>2</v>
      </c>
      <c r="D5" s="77" t="s">
        <v>3</v>
      </c>
      <c r="E5" s="77" t="s">
        <v>4</v>
      </c>
      <c r="F5" s="77" t="s">
        <v>5</v>
      </c>
      <c r="G5" s="78"/>
      <c r="H5" s="79"/>
      <c r="I5" s="79"/>
      <c r="J5" s="79"/>
      <c r="K5" s="78"/>
      <c r="L5" s="79"/>
      <c r="M5" s="79"/>
      <c r="N5" s="195"/>
    </row>
    <row r="6" spans="1:15" ht="15.75" thickTop="1">
      <c r="A6" t="s">
        <v>135</v>
      </c>
      <c r="G6" s="6"/>
      <c r="H6" s="3"/>
      <c r="K6" s="6"/>
      <c r="L6" s="3"/>
      <c r="M6" s="3"/>
      <c r="N6" s="101"/>
    </row>
    <row r="7" spans="1:15">
      <c r="A7" s="4"/>
      <c r="G7" s="6"/>
      <c r="H7" s="3"/>
      <c r="K7" s="6"/>
      <c r="L7" s="3"/>
      <c r="M7" s="3"/>
      <c r="N7" s="101"/>
    </row>
    <row r="8" spans="1:15" ht="15.75" thickBot="1">
      <c r="A8" s="80" t="s">
        <v>136</v>
      </c>
      <c r="B8" s="79"/>
      <c r="C8" s="79"/>
      <c r="D8" s="79"/>
      <c r="E8" s="108">
        <f>SUM(E11:E57)</f>
        <v>283600.34999999998</v>
      </c>
      <c r="F8" s="138" t="s">
        <v>54</v>
      </c>
      <c r="G8" s="78"/>
      <c r="H8" s="79"/>
      <c r="I8" s="79"/>
      <c r="J8" s="79"/>
      <c r="K8" s="78"/>
      <c r="L8" s="79"/>
      <c r="M8" s="79"/>
      <c r="N8" s="195"/>
    </row>
    <row r="9" spans="1:15" s="15" customFormat="1" ht="15.75" thickTop="1">
      <c r="A9" s="82" t="s">
        <v>137</v>
      </c>
      <c r="F9" s="140"/>
      <c r="G9" s="17"/>
      <c r="H9" s="14"/>
      <c r="K9" s="17"/>
      <c r="L9" s="14"/>
      <c r="M9" s="14"/>
      <c r="N9" s="175"/>
    </row>
    <row r="10" spans="1:15" s="15" customFormat="1">
      <c r="A10" s="82"/>
      <c r="F10" s="140"/>
      <c r="G10" s="17"/>
      <c r="H10" s="14"/>
      <c r="K10" s="17"/>
      <c r="L10" s="14"/>
      <c r="M10" s="14"/>
      <c r="N10" s="175"/>
    </row>
    <row r="11" spans="1:15" s="15" customFormat="1">
      <c r="A11" s="109" t="s">
        <v>138</v>
      </c>
      <c r="F11" s="140"/>
      <c r="G11" s="17"/>
      <c r="H11" s="14"/>
      <c r="K11" s="17"/>
      <c r="L11" s="14"/>
      <c r="M11" s="14"/>
      <c r="N11" s="175"/>
      <c r="O11" s="14"/>
    </row>
    <row r="12" spans="1:15" s="15" customFormat="1">
      <c r="A12" s="110" t="s">
        <v>139</v>
      </c>
      <c r="B12" s="15" t="s">
        <v>140</v>
      </c>
      <c r="C12" s="15" t="s">
        <v>141</v>
      </c>
      <c r="D12" s="15" t="s">
        <v>142</v>
      </c>
      <c r="E12" s="111">
        <v>11600</v>
      </c>
      <c r="F12" s="140"/>
      <c r="G12" s="17"/>
      <c r="H12" s="14"/>
      <c r="I12" s="15">
        <v>5800</v>
      </c>
      <c r="J12" s="15">
        <v>5800</v>
      </c>
      <c r="K12" s="17"/>
      <c r="O12" s="17"/>
    </row>
    <row r="13" spans="1:15" s="15" customFormat="1">
      <c r="A13" s="110" t="s">
        <v>143</v>
      </c>
      <c r="B13" s="15" t="s">
        <v>144</v>
      </c>
      <c r="C13" s="15" t="s">
        <v>141</v>
      </c>
      <c r="D13" s="15" t="s">
        <v>8</v>
      </c>
      <c r="E13" s="111">
        <v>7500</v>
      </c>
      <c r="F13" s="146"/>
      <c r="G13" s="17"/>
      <c r="H13" s="14"/>
      <c r="J13" s="15">
        <v>3750</v>
      </c>
      <c r="K13" s="17">
        <v>3750</v>
      </c>
      <c r="O13" s="17"/>
    </row>
    <row r="14" spans="1:15" s="15" customFormat="1">
      <c r="A14" s="110" t="s">
        <v>145</v>
      </c>
      <c r="B14" s="15" t="s">
        <v>144</v>
      </c>
      <c r="C14" s="15" t="s">
        <v>141</v>
      </c>
      <c r="D14" s="15" t="s">
        <v>8</v>
      </c>
      <c r="E14" s="111">
        <v>2000</v>
      </c>
      <c r="F14" s="140"/>
      <c r="G14" s="17"/>
      <c r="H14" s="14"/>
      <c r="K14" s="17"/>
      <c r="L14" s="15">
        <v>2000</v>
      </c>
      <c r="O14" s="17"/>
    </row>
    <row r="15" spans="1:15" s="15" customFormat="1">
      <c r="A15" s="110" t="s">
        <v>146</v>
      </c>
      <c r="C15" s="15" t="s">
        <v>141</v>
      </c>
      <c r="D15" s="15" t="s">
        <v>141</v>
      </c>
      <c r="E15" s="111">
        <v>5199.3500000000004</v>
      </c>
      <c r="F15" s="140"/>
      <c r="G15" s="17"/>
      <c r="H15" s="14"/>
      <c r="I15" s="15">
        <v>1300</v>
      </c>
      <c r="J15" s="15">
        <v>1300</v>
      </c>
      <c r="K15" s="17">
        <v>1300</v>
      </c>
      <c r="L15" s="15">
        <v>1299</v>
      </c>
      <c r="O15" s="17"/>
    </row>
    <row r="16" spans="1:15" s="15" customFormat="1">
      <c r="A16" s="112"/>
      <c r="F16" s="140"/>
      <c r="G16" s="17"/>
      <c r="H16" s="14"/>
      <c r="K16" s="17"/>
      <c r="O16" s="17"/>
    </row>
    <row r="17" spans="1:15" s="15" customFormat="1">
      <c r="A17" s="109" t="s">
        <v>147</v>
      </c>
      <c r="F17" s="140"/>
      <c r="G17" s="17"/>
      <c r="H17" s="14"/>
      <c r="K17" s="17"/>
      <c r="O17" s="17"/>
    </row>
    <row r="18" spans="1:15" s="15" customFormat="1">
      <c r="A18" s="110" t="s">
        <v>139</v>
      </c>
      <c r="B18" s="15" t="s">
        <v>140</v>
      </c>
      <c r="C18" s="15" t="s">
        <v>141</v>
      </c>
      <c r="D18" s="15" t="s">
        <v>142</v>
      </c>
      <c r="E18" s="111">
        <v>11600</v>
      </c>
      <c r="F18" s="140"/>
      <c r="G18" s="17"/>
      <c r="H18" s="14"/>
      <c r="I18" s="15">
        <v>5800</v>
      </c>
      <c r="J18" s="15">
        <v>5800</v>
      </c>
      <c r="K18" s="17"/>
      <c r="O18" s="17"/>
    </row>
    <row r="19" spans="1:15" s="15" customFormat="1">
      <c r="A19" s="110" t="s">
        <v>143</v>
      </c>
      <c r="B19" s="15" t="s">
        <v>144</v>
      </c>
      <c r="C19" s="15" t="s">
        <v>141</v>
      </c>
      <c r="D19" s="15" t="s">
        <v>8</v>
      </c>
      <c r="E19" s="111">
        <v>7500</v>
      </c>
      <c r="F19" s="140"/>
      <c r="G19" s="17"/>
      <c r="H19" s="14"/>
      <c r="J19" s="15">
        <v>3750</v>
      </c>
      <c r="K19" s="17">
        <v>3750</v>
      </c>
      <c r="O19" s="17"/>
    </row>
    <row r="20" spans="1:15" s="15" customFormat="1">
      <c r="A20" s="110" t="s">
        <v>145</v>
      </c>
      <c r="B20" s="15" t="s">
        <v>144</v>
      </c>
      <c r="C20" s="15" t="s">
        <v>141</v>
      </c>
      <c r="D20" s="15" t="s">
        <v>8</v>
      </c>
      <c r="E20" s="111">
        <v>2000</v>
      </c>
      <c r="F20" s="140"/>
      <c r="G20" s="17"/>
      <c r="H20" s="14"/>
      <c r="K20" s="17"/>
      <c r="L20" s="15">
        <v>2000</v>
      </c>
      <c r="O20" s="17"/>
    </row>
    <row r="21" spans="1:15" s="15" customFormat="1">
      <c r="A21" s="110" t="s">
        <v>146</v>
      </c>
      <c r="B21" s="15" t="s">
        <v>144</v>
      </c>
      <c r="C21" s="15" t="s">
        <v>141</v>
      </c>
      <c r="D21" s="15" t="s">
        <v>141</v>
      </c>
      <c r="E21" s="111">
        <v>5882.45</v>
      </c>
      <c r="F21" s="140"/>
      <c r="G21" s="17"/>
      <c r="H21" s="14"/>
      <c r="I21" s="15">
        <v>1470</v>
      </c>
      <c r="J21" s="15">
        <v>1470</v>
      </c>
      <c r="K21" s="17">
        <v>1470</v>
      </c>
      <c r="L21" s="15">
        <v>1473</v>
      </c>
      <c r="O21" s="17"/>
    </row>
    <row r="22" spans="1:15" s="15" customFormat="1">
      <c r="A22" s="112"/>
      <c r="F22" s="140"/>
      <c r="G22" s="17"/>
      <c r="H22" s="14"/>
      <c r="K22" s="17"/>
      <c r="O22" s="17"/>
    </row>
    <row r="23" spans="1:15" s="15" customFormat="1">
      <c r="A23" s="109" t="s">
        <v>148</v>
      </c>
      <c r="F23" s="140"/>
      <c r="G23" s="17"/>
      <c r="H23" s="14"/>
      <c r="K23" s="17"/>
      <c r="O23" s="17"/>
    </row>
    <row r="24" spans="1:15" s="15" customFormat="1">
      <c r="A24" s="110" t="s">
        <v>139</v>
      </c>
      <c r="B24" s="15" t="s">
        <v>140</v>
      </c>
      <c r="C24" s="15" t="s">
        <v>141</v>
      </c>
      <c r="D24" s="15" t="s">
        <v>142</v>
      </c>
      <c r="E24" s="111">
        <v>11600</v>
      </c>
      <c r="F24" s="140"/>
      <c r="G24" s="17"/>
      <c r="H24" s="14"/>
      <c r="I24" s="15">
        <v>5800</v>
      </c>
      <c r="J24" s="15">
        <v>5800</v>
      </c>
      <c r="K24" s="17"/>
      <c r="O24" s="17"/>
    </row>
    <row r="25" spans="1:15" s="15" customFormat="1">
      <c r="A25" s="110" t="s">
        <v>143</v>
      </c>
      <c r="B25" s="15" t="s">
        <v>144</v>
      </c>
      <c r="C25" s="15" t="s">
        <v>141</v>
      </c>
      <c r="D25" s="15" t="s">
        <v>8</v>
      </c>
      <c r="E25" s="111">
        <v>7500</v>
      </c>
      <c r="F25" s="140"/>
      <c r="G25" s="17"/>
      <c r="H25" s="14"/>
      <c r="J25" s="15">
        <v>3750</v>
      </c>
      <c r="K25" s="17">
        <v>3750</v>
      </c>
      <c r="O25" s="17"/>
    </row>
    <row r="26" spans="1:15" s="15" customFormat="1">
      <c r="A26" s="110" t="s">
        <v>145</v>
      </c>
      <c r="B26" s="15" t="s">
        <v>144</v>
      </c>
      <c r="C26" s="15" t="s">
        <v>141</v>
      </c>
      <c r="D26" s="15" t="s">
        <v>8</v>
      </c>
      <c r="E26" s="111">
        <v>2000</v>
      </c>
      <c r="F26" s="140"/>
      <c r="G26" s="17"/>
      <c r="H26" s="14"/>
      <c r="K26" s="17"/>
      <c r="L26" s="15">
        <v>2000</v>
      </c>
      <c r="O26" s="17"/>
    </row>
    <row r="27" spans="1:15" s="15" customFormat="1">
      <c r="A27" s="110" t="s">
        <v>146</v>
      </c>
      <c r="B27" s="15" t="s">
        <v>144</v>
      </c>
      <c r="C27" s="15" t="s">
        <v>141</v>
      </c>
      <c r="D27" s="15" t="s">
        <v>141</v>
      </c>
      <c r="E27" s="111">
        <v>5199.3500000000004</v>
      </c>
      <c r="F27" s="140"/>
      <c r="G27" s="17"/>
      <c r="H27" s="14"/>
      <c r="I27" s="15">
        <v>1300</v>
      </c>
      <c r="J27" s="15">
        <v>1300</v>
      </c>
      <c r="K27" s="17">
        <v>1300</v>
      </c>
      <c r="L27" s="15">
        <v>1299</v>
      </c>
      <c r="O27" s="17"/>
    </row>
    <row r="28" spans="1:15" s="15" customFormat="1">
      <c r="A28" s="112"/>
      <c r="F28" s="140"/>
      <c r="G28" s="17"/>
      <c r="H28" s="14"/>
      <c r="K28" s="17"/>
      <c r="O28" s="17"/>
    </row>
    <row r="29" spans="1:15" s="15" customFormat="1">
      <c r="A29" s="109" t="s">
        <v>149</v>
      </c>
      <c r="F29" s="140"/>
      <c r="G29" s="17"/>
      <c r="H29" s="14"/>
      <c r="K29" s="17"/>
      <c r="O29" s="17"/>
    </row>
    <row r="30" spans="1:15" s="15" customFormat="1">
      <c r="A30" s="110" t="s">
        <v>139</v>
      </c>
      <c r="B30" s="15" t="s">
        <v>140</v>
      </c>
      <c r="C30" s="15" t="s">
        <v>141</v>
      </c>
      <c r="D30" s="15" t="s">
        <v>142</v>
      </c>
      <c r="E30" s="111">
        <v>11600</v>
      </c>
      <c r="F30" s="140"/>
      <c r="G30" s="17"/>
      <c r="H30" s="14"/>
      <c r="I30" s="15">
        <v>5800</v>
      </c>
      <c r="J30" s="15">
        <v>5800</v>
      </c>
      <c r="K30" s="17"/>
      <c r="O30" s="17"/>
    </row>
    <row r="31" spans="1:15" s="15" customFormat="1">
      <c r="A31" s="110" t="s">
        <v>143</v>
      </c>
      <c r="B31" s="15" t="s">
        <v>144</v>
      </c>
      <c r="C31" s="15" t="s">
        <v>141</v>
      </c>
      <c r="D31" s="15" t="s">
        <v>8</v>
      </c>
      <c r="E31" s="111">
        <v>7500</v>
      </c>
      <c r="F31" s="140"/>
      <c r="G31" s="17"/>
      <c r="H31" s="14"/>
      <c r="J31" s="15">
        <v>3750</v>
      </c>
      <c r="K31" s="17">
        <v>3750</v>
      </c>
      <c r="O31" s="17"/>
    </row>
    <row r="32" spans="1:15" s="15" customFormat="1">
      <c r="A32" s="110" t="s">
        <v>145</v>
      </c>
      <c r="B32" s="15" t="s">
        <v>144</v>
      </c>
      <c r="C32" s="15" t="s">
        <v>141</v>
      </c>
      <c r="D32" s="15" t="s">
        <v>8</v>
      </c>
      <c r="E32" s="111">
        <v>2000</v>
      </c>
      <c r="F32" s="140"/>
      <c r="G32" s="17"/>
      <c r="H32" s="14"/>
      <c r="K32" s="17"/>
      <c r="L32" s="15">
        <v>2000</v>
      </c>
      <c r="O32" s="17"/>
    </row>
    <row r="33" spans="1:15" s="15" customFormat="1">
      <c r="A33" s="110" t="s">
        <v>146</v>
      </c>
      <c r="B33" s="15" t="s">
        <v>144</v>
      </c>
      <c r="C33" s="15" t="s">
        <v>141</v>
      </c>
      <c r="D33" s="15" t="s">
        <v>141</v>
      </c>
      <c r="E33" s="111">
        <v>5199.3500000000004</v>
      </c>
      <c r="F33" s="140"/>
      <c r="G33" s="17"/>
      <c r="H33" s="14"/>
      <c r="I33" s="15">
        <v>1300</v>
      </c>
      <c r="J33" s="15">
        <v>1300</v>
      </c>
      <c r="K33" s="17">
        <v>1300</v>
      </c>
      <c r="L33" s="15">
        <v>1299</v>
      </c>
      <c r="O33" s="17"/>
    </row>
    <row r="34" spans="1:15" s="15" customFormat="1">
      <c r="A34" s="112"/>
      <c r="E34" s="111"/>
      <c r="F34" s="140"/>
      <c r="G34" s="17"/>
      <c r="H34" s="14"/>
      <c r="K34" s="17"/>
      <c r="O34" s="17"/>
    </row>
    <row r="35" spans="1:15" s="15" customFormat="1">
      <c r="A35" s="109" t="s">
        <v>150</v>
      </c>
      <c r="F35" s="140"/>
      <c r="G35" s="17"/>
      <c r="H35" s="14"/>
      <c r="K35" s="17"/>
      <c r="O35" s="17"/>
    </row>
    <row r="36" spans="1:15" s="15" customFormat="1">
      <c r="A36" s="110" t="s">
        <v>139</v>
      </c>
      <c r="B36" s="15" t="s">
        <v>140</v>
      </c>
      <c r="C36" s="15" t="s">
        <v>141</v>
      </c>
      <c r="D36" s="15" t="s">
        <v>142</v>
      </c>
      <c r="E36" s="111">
        <v>11600</v>
      </c>
      <c r="F36" s="140"/>
      <c r="G36" s="17"/>
      <c r="H36" s="14"/>
      <c r="I36" s="15">
        <v>5800</v>
      </c>
      <c r="J36" s="15">
        <v>5800</v>
      </c>
      <c r="K36" s="17"/>
      <c r="O36" s="17"/>
    </row>
    <row r="37" spans="1:15" s="15" customFormat="1">
      <c r="A37" s="110" t="s">
        <v>143</v>
      </c>
      <c r="B37" s="15" t="s">
        <v>144</v>
      </c>
      <c r="C37" s="15" t="s">
        <v>141</v>
      </c>
      <c r="D37" s="15" t="s">
        <v>8</v>
      </c>
      <c r="E37" s="111">
        <v>7500</v>
      </c>
      <c r="F37" s="140"/>
      <c r="G37" s="17"/>
      <c r="H37" s="14"/>
      <c r="J37" s="15">
        <v>3750</v>
      </c>
      <c r="K37" s="17">
        <v>3750</v>
      </c>
      <c r="O37" s="17"/>
    </row>
    <row r="38" spans="1:15" s="15" customFormat="1">
      <c r="A38" s="110" t="s">
        <v>145</v>
      </c>
      <c r="B38" s="15" t="s">
        <v>144</v>
      </c>
      <c r="C38" s="15" t="s">
        <v>141</v>
      </c>
      <c r="D38" s="15" t="s">
        <v>8</v>
      </c>
      <c r="E38" s="111">
        <v>2000</v>
      </c>
      <c r="F38" s="140"/>
      <c r="G38" s="17"/>
      <c r="H38" s="14"/>
      <c r="K38" s="17"/>
      <c r="L38" s="15">
        <v>2000</v>
      </c>
      <c r="O38" s="17"/>
    </row>
    <row r="39" spans="1:15" s="15" customFormat="1">
      <c r="A39" s="110" t="s">
        <v>146</v>
      </c>
      <c r="B39" s="15" t="s">
        <v>144</v>
      </c>
      <c r="C39" s="15" t="s">
        <v>141</v>
      </c>
      <c r="D39" s="15" t="s">
        <v>141</v>
      </c>
      <c r="E39" s="111">
        <v>5199.3500000000004</v>
      </c>
      <c r="F39" s="140"/>
      <c r="G39" s="17"/>
      <c r="H39" s="14"/>
      <c r="I39" s="15">
        <v>1300</v>
      </c>
      <c r="J39" s="15">
        <v>1300</v>
      </c>
      <c r="K39" s="17">
        <v>1300</v>
      </c>
      <c r="L39" s="15">
        <v>1299</v>
      </c>
      <c r="O39" s="17"/>
    </row>
    <row r="40" spans="1:15" s="15" customFormat="1">
      <c r="A40" s="112"/>
      <c r="E40" s="111"/>
      <c r="F40" s="140"/>
      <c r="G40" s="17"/>
      <c r="H40" s="14"/>
      <c r="K40" s="17"/>
      <c r="O40" s="17"/>
    </row>
    <row r="41" spans="1:15" s="15" customFormat="1">
      <c r="A41" s="109" t="s">
        <v>151</v>
      </c>
      <c r="F41" s="140"/>
      <c r="G41" s="17"/>
      <c r="H41" s="14"/>
      <c r="K41" s="17"/>
      <c r="O41" s="17"/>
    </row>
    <row r="42" spans="1:15" s="15" customFormat="1">
      <c r="A42" s="110" t="s">
        <v>139</v>
      </c>
      <c r="B42" s="15" t="s">
        <v>140</v>
      </c>
      <c r="C42" s="15" t="s">
        <v>152</v>
      </c>
      <c r="D42" s="15" t="s">
        <v>142</v>
      </c>
      <c r="E42" s="111">
        <v>14500</v>
      </c>
      <c r="F42" s="140"/>
      <c r="G42" s="17"/>
      <c r="H42" s="14"/>
      <c r="I42" s="15">
        <v>7250</v>
      </c>
      <c r="J42" s="15">
        <v>7250</v>
      </c>
      <c r="K42" s="17"/>
      <c r="O42" s="17"/>
    </row>
    <row r="43" spans="1:15" s="15" customFormat="1">
      <c r="A43" s="110" t="s">
        <v>143</v>
      </c>
      <c r="B43" s="15" t="s">
        <v>144</v>
      </c>
      <c r="C43" s="15" t="s">
        <v>152</v>
      </c>
      <c r="D43" s="15" t="s">
        <v>8</v>
      </c>
      <c r="E43" s="111">
        <v>7500</v>
      </c>
      <c r="F43" s="140"/>
      <c r="G43" s="17"/>
      <c r="H43" s="14"/>
      <c r="J43" s="15">
        <v>3750</v>
      </c>
      <c r="K43" s="17">
        <v>3750</v>
      </c>
      <c r="O43" s="17"/>
    </row>
    <row r="44" spans="1:15" s="15" customFormat="1">
      <c r="A44" s="110" t="s">
        <v>145</v>
      </c>
      <c r="B44" s="15" t="s">
        <v>144</v>
      </c>
      <c r="C44" s="15" t="s">
        <v>152</v>
      </c>
      <c r="D44" s="15" t="s">
        <v>8</v>
      </c>
      <c r="E44" s="111">
        <v>2000</v>
      </c>
      <c r="F44" s="140"/>
      <c r="G44" s="17"/>
      <c r="H44" s="14"/>
      <c r="K44" s="17"/>
      <c r="L44" s="15">
        <v>2000</v>
      </c>
      <c r="O44" s="17"/>
    </row>
    <row r="45" spans="1:15" s="15" customFormat="1">
      <c r="A45" s="110" t="s">
        <v>146</v>
      </c>
      <c r="B45" s="15" t="s">
        <v>144</v>
      </c>
      <c r="C45" s="15" t="s">
        <v>152</v>
      </c>
      <c r="D45" s="15" t="s">
        <v>152</v>
      </c>
      <c r="E45" s="111">
        <v>4462.5</v>
      </c>
      <c r="F45" s="140"/>
      <c r="G45" s="17"/>
      <c r="H45" s="14"/>
      <c r="I45" s="15">
        <v>1115</v>
      </c>
      <c r="J45" s="15">
        <v>1115</v>
      </c>
      <c r="K45" s="17">
        <v>1115</v>
      </c>
      <c r="L45" s="15">
        <v>1118</v>
      </c>
      <c r="O45" s="17"/>
    </row>
    <row r="46" spans="1:15" s="15" customFormat="1">
      <c r="A46" s="112"/>
      <c r="E46" s="111"/>
      <c r="F46" s="140"/>
      <c r="G46" s="17"/>
      <c r="H46" s="14"/>
      <c r="K46" s="17"/>
      <c r="O46" s="17"/>
    </row>
    <row r="47" spans="1:15" s="15" customFormat="1">
      <c r="A47" s="109" t="s">
        <v>153</v>
      </c>
      <c r="F47" s="140"/>
      <c r="G47" s="17"/>
      <c r="H47" s="14"/>
      <c r="K47" s="17"/>
      <c r="O47" s="17"/>
    </row>
    <row r="48" spans="1:15" s="15" customFormat="1">
      <c r="A48" s="110" t="s">
        <v>139</v>
      </c>
      <c r="B48" s="15" t="s">
        <v>140</v>
      </c>
      <c r="C48" s="15" t="s">
        <v>152</v>
      </c>
      <c r="D48" s="15" t="s">
        <v>142</v>
      </c>
      <c r="E48" s="111">
        <v>11600</v>
      </c>
      <c r="F48" s="140"/>
      <c r="G48" s="17"/>
      <c r="H48" s="14"/>
      <c r="I48" s="15">
        <v>5800</v>
      </c>
      <c r="J48" s="15">
        <v>5800</v>
      </c>
      <c r="K48" s="17"/>
      <c r="O48" s="17"/>
    </row>
    <row r="49" spans="1:16" s="15" customFormat="1">
      <c r="A49" s="110" t="s">
        <v>143</v>
      </c>
      <c r="B49" s="15" t="s">
        <v>144</v>
      </c>
      <c r="C49" s="15" t="s">
        <v>152</v>
      </c>
      <c r="D49" s="15" t="s">
        <v>8</v>
      </c>
      <c r="E49" s="111">
        <v>8200</v>
      </c>
      <c r="F49" s="140"/>
      <c r="G49" s="17"/>
      <c r="H49" s="14"/>
      <c r="J49" s="15">
        <v>4100</v>
      </c>
      <c r="K49" s="17">
        <v>4100</v>
      </c>
      <c r="O49" s="17"/>
    </row>
    <row r="50" spans="1:16" s="15" customFormat="1">
      <c r="A50" s="110" t="s">
        <v>145</v>
      </c>
      <c r="B50" s="15" t="s">
        <v>144</v>
      </c>
      <c r="C50" s="15" t="s">
        <v>152</v>
      </c>
      <c r="D50" s="15" t="s">
        <v>8</v>
      </c>
      <c r="E50" s="111">
        <v>2000</v>
      </c>
      <c r="F50" s="140"/>
      <c r="G50" s="17"/>
      <c r="H50" s="14"/>
      <c r="K50" s="17"/>
      <c r="L50" s="15">
        <v>2000</v>
      </c>
      <c r="O50" s="17"/>
    </row>
    <row r="51" spans="1:16" s="15" customFormat="1">
      <c r="A51" s="110" t="s">
        <v>146</v>
      </c>
      <c r="B51" s="15" t="s">
        <v>144</v>
      </c>
      <c r="C51" s="15" t="s">
        <v>152</v>
      </c>
      <c r="D51" s="15" t="s">
        <v>152</v>
      </c>
      <c r="E51" s="111">
        <v>4157.8</v>
      </c>
      <c r="F51" s="140"/>
      <c r="G51" s="17"/>
      <c r="H51" s="14"/>
      <c r="I51" s="15">
        <v>1040</v>
      </c>
      <c r="J51" s="15">
        <v>1040</v>
      </c>
      <c r="K51" s="17">
        <v>1040</v>
      </c>
      <c r="L51" s="15">
        <v>1038</v>
      </c>
      <c r="O51" s="17"/>
    </row>
    <row r="52" spans="1:16" s="15" customFormat="1">
      <c r="A52" s="112"/>
      <c r="E52" s="111"/>
      <c r="F52" s="140"/>
      <c r="G52" s="17"/>
      <c r="H52" s="14"/>
      <c r="K52" s="17"/>
      <c r="O52" s="17"/>
    </row>
    <row r="53" spans="1:16" s="15" customFormat="1">
      <c r="A53" s="109" t="s">
        <v>154</v>
      </c>
      <c r="F53" s="140"/>
      <c r="G53" s="17"/>
      <c r="H53" s="14"/>
      <c r="K53" s="17"/>
      <c r="O53" s="17"/>
    </row>
    <row r="54" spans="1:16" s="15" customFormat="1">
      <c r="A54" s="110" t="s">
        <v>155</v>
      </c>
      <c r="B54" s="15" t="s">
        <v>140</v>
      </c>
      <c r="C54" s="15" t="s">
        <v>152</v>
      </c>
      <c r="D54" s="15" t="s">
        <v>142</v>
      </c>
      <c r="E54" s="111">
        <v>19400</v>
      </c>
      <c r="F54" s="140"/>
      <c r="G54" s="17"/>
      <c r="H54" s="14"/>
      <c r="I54" s="15">
        <v>9700</v>
      </c>
      <c r="J54" s="15">
        <v>9700</v>
      </c>
      <c r="K54" s="17"/>
      <c r="O54" s="17"/>
    </row>
    <row r="55" spans="1:16" s="15" customFormat="1">
      <c r="A55" s="110" t="s">
        <v>143</v>
      </c>
      <c r="B55" s="15" t="s">
        <v>144</v>
      </c>
      <c r="C55" s="15" t="s">
        <v>152</v>
      </c>
      <c r="D55" s="15" t="s">
        <v>8</v>
      </c>
      <c r="E55" s="111">
        <v>49700</v>
      </c>
      <c r="F55" s="140"/>
      <c r="G55" s="17"/>
      <c r="H55" s="14"/>
      <c r="J55" s="15">
        <v>16500</v>
      </c>
      <c r="K55" s="17">
        <v>16500</v>
      </c>
      <c r="L55" s="15">
        <v>16700</v>
      </c>
      <c r="O55" s="17"/>
    </row>
    <row r="56" spans="1:16" s="15" customFormat="1">
      <c r="A56" s="110" t="s">
        <v>145</v>
      </c>
      <c r="B56" s="15" t="s">
        <v>144</v>
      </c>
      <c r="C56" s="15" t="s">
        <v>152</v>
      </c>
      <c r="D56" s="15" t="s">
        <v>8</v>
      </c>
      <c r="E56" s="111">
        <v>3000</v>
      </c>
      <c r="F56" s="140"/>
      <c r="G56" s="17"/>
      <c r="H56" s="14"/>
      <c r="K56" s="17"/>
      <c r="M56" s="15">
        <v>3000</v>
      </c>
      <c r="O56" s="17"/>
    </row>
    <row r="57" spans="1:16" s="15" customFormat="1">
      <c r="A57" s="110" t="s">
        <v>146</v>
      </c>
      <c r="B57" s="15" t="s">
        <v>144</v>
      </c>
      <c r="C57" s="15" t="s">
        <v>152</v>
      </c>
      <c r="D57" s="15" t="s">
        <v>152</v>
      </c>
      <c r="E57" s="111">
        <v>24900.2</v>
      </c>
      <c r="F57" s="140"/>
      <c r="G57" s="17"/>
      <c r="H57" s="14"/>
      <c r="I57" s="15">
        <v>4980</v>
      </c>
      <c r="J57" s="15">
        <v>4980</v>
      </c>
      <c r="K57" s="17">
        <v>4980</v>
      </c>
      <c r="L57" s="14">
        <v>4980</v>
      </c>
      <c r="M57" s="14">
        <v>4980</v>
      </c>
      <c r="O57" s="17"/>
    </row>
    <row r="58" spans="1:16" s="15" customFormat="1">
      <c r="A58" s="112"/>
      <c r="E58" s="111"/>
      <c r="F58" s="16"/>
      <c r="G58" s="17"/>
      <c r="H58" s="14"/>
      <c r="K58" s="17"/>
      <c r="O58" s="17"/>
    </row>
    <row r="59" spans="1:16" s="15" customFormat="1">
      <c r="A59" s="14"/>
      <c r="F59" s="72"/>
      <c r="G59" s="14"/>
      <c r="H59" s="14"/>
      <c r="I59" s="14"/>
      <c r="J59" s="14"/>
      <c r="K59" s="14"/>
      <c r="L59" s="14"/>
      <c r="M59" s="14"/>
      <c r="N59" s="14"/>
      <c r="O59" s="14"/>
      <c r="P59" s="14"/>
    </row>
    <row r="60" spans="1:16">
      <c r="A60" t="s">
        <v>21</v>
      </c>
      <c r="E60" s="10">
        <f>E8</f>
        <v>283600.34999999998</v>
      </c>
      <c r="F60" s="15"/>
      <c r="I60" s="10">
        <f>SUM(I12:I57)</f>
        <v>65555</v>
      </c>
      <c r="J60" s="10">
        <f>SUM(J12:J57)</f>
        <v>108655</v>
      </c>
      <c r="K60" s="10">
        <f>SUM(K12:K57)</f>
        <v>56905</v>
      </c>
      <c r="L60" s="10">
        <f>SUM(L12:L57)</f>
        <v>44505</v>
      </c>
      <c r="M60" s="10">
        <f>SUM(M12:M57)</f>
        <v>7980</v>
      </c>
      <c r="N60" s="10"/>
      <c r="O60" s="10"/>
    </row>
    <row r="61" spans="1:16">
      <c r="E61" s="10"/>
      <c r="F61" s="15"/>
      <c r="I61" s="10"/>
      <c r="J61" s="10"/>
      <c r="K61" s="10"/>
      <c r="L61" s="10"/>
      <c r="M61" s="10"/>
      <c r="N61" s="10"/>
      <c r="O61" s="10"/>
    </row>
    <row r="62" spans="1:16">
      <c r="A62" t="s">
        <v>13</v>
      </c>
      <c r="E62" s="10">
        <f>E60*0.8</f>
        <v>226880.28</v>
      </c>
      <c r="F62" s="15"/>
    </row>
    <row r="64" spans="1:16">
      <c r="A64" t="s">
        <v>184</v>
      </c>
      <c r="E64" s="10">
        <f>E60-E62</f>
        <v>56720.069999999978</v>
      </c>
      <c r="F64" s="129"/>
    </row>
    <row r="65" spans="5:5">
      <c r="E65" s="10"/>
    </row>
  </sheetData>
  <mergeCells count="3">
    <mergeCell ref="I2:L2"/>
    <mergeCell ref="G3:J3"/>
    <mergeCell ref="K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3</vt:i4>
      </vt:variant>
    </vt:vector>
  </HeadingPairs>
  <TitlesOfParts>
    <vt:vector size="11" baseType="lpstr">
      <vt:lpstr>Summary</vt:lpstr>
      <vt:lpstr>DC Ftotten</vt:lpstr>
      <vt:lpstr>MC F Glen</vt:lpstr>
      <vt:lpstr>PG NewC</vt:lpstr>
      <vt:lpstr>RV Tbrook</vt:lpstr>
      <vt:lpstr>PG WH</vt:lpstr>
      <vt:lpstr>Arl A-N</vt:lpstr>
      <vt:lpstr>VRE</vt:lpstr>
      <vt:lpstr>'MC F Glen'!Print_Area</vt:lpstr>
      <vt:lpstr>'PG WH'!Print_Area</vt:lpstr>
      <vt:lpstr>Summary!Print_Area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Ross Randall</dc:creator>
  <cp:lastModifiedBy>Eric Ross Randall</cp:lastModifiedBy>
  <cp:lastPrinted>2011-10-27T17:30:49Z</cp:lastPrinted>
  <dcterms:created xsi:type="dcterms:W3CDTF">2011-08-19T18:19:46Z</dcterms:created>
  <dcterms:modified xsi:type="dcterms:W3CDTF">2011-10-28T14:20:58Z</dcterms:modified>
</cp:coreProperties>
</file>